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60" windowHeight="6195" activeTab="0"/>
  </bookViews>
  <sheets>
    <sheet name="Inc.Statements" sheetId="1" r:id="rId1"/>
    <sheet name="Bal.Sheet" sheetId="2" r:id="rId2"/>
    <sheet name="Cash Flow" sheetId="3" r:id="rId3"/>
    <sheet name="Stat Of Chang In Equity" sheetId="4" r:id="rId4"/>
    <sheet name="Notes" sheetId="5" r:id="rId5"/>
  </sheets>
  <definedNames>
    <definedName name="_xlnm.Print_Area" localSheetId="1">'Bal.Sheet'!$A$1:$P$64</definedName>
    <definedName name="_xlnm.Print_Area" localSheetId="2">'Cash Flow'!$A$1:$G$51</definedName>
    <definedName name="_xlnm.Print_Area" localSheetId="0">'Inc.Statements'!$A$1:$K$55</definedName>
    <definedName name="_xlnm.Print_Area" localSheetId="4">'Notes'!$A$1:$O$244</definedName>
    <definedName name="_xlnm.Print_Area" localSheetId="3">'Stat Of Chang In Equity'!$A$1:$M$49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<sst xmlns="http://schemas.openxmlformats.org/spreadsheetml/2006/main" count="392" uniqueCount="314">
  <si>
    <t>A</t>
  </si>
  <si>
    <t>ANNOUNCEMENT</t>
  </si>
  <si>
    <t>INDIVIDUAL QUARTER</t>
  </si>
  <si>
    <t xml:space="preserve">CUMULATIVE </t>
  </si>
  <si>
    <t xml:space="preserve">HALF </t>
  </si>
  <si>
    <t>CURRENT</t>
  </si>
  <si>
    <t>PRECEDING YEAR</t>
  </si>
  <si>
    <t>YEAR</t>
  </si>
  <si>
    <t>CORRESPONDING</t>
  </si>
  <si>
    <t>ENDED</t>
  </si>
  <si>
    <t>QUARTER</t>
  </si>
  <si>
    <t>TO DATE</t>
  </si>
  <si>
    <t>31 DECEMBER 1999</t>
  </si>
  <si>
    <t>31 DECEMBER 1998</t>
  </si>
  <si>
    <t>RM '000</t>
  </si>
  <si>
    <t>companies</t>
  </si>
  <si>
    <t>(i)  Basic (based on 1,859,913,793</t>
  </si>
  <si>
    <t xml:space="preserve">     ordinary shares) (sen)</t>
  </si>
  <si>
    <t xml:space="preserve">AS AT </t>
  </si>
  <si>
    <t>END OF</t>
  </si>
  <si>
    <t>PRECEDING</t>
  </si>
  <si>
    <t>AS AT</t>
  </si>
  <si>
    <t>FINANCIAL</t>
  </si>
  <si>
    <t>YEAR END</t>
  </si>
  <si>
    <t>Intangible Assets</t>
  </si>
  <si>
    <t>Current Assets</t>
  </si>
  <si>
    <t>Cash</t>
  </si>
  <si>
    <t>Amounts due from Group Companies</t>
  </si>
  <si>
    <t>Amounts due from Associated Companies</t>
  </si>
  <si>
    <t>Short Term Borrowings</t>
  </si>
  <si>
    <t>Provision for Taxation</t>
  </si>
  <si>
    <t>Amounts due to Group Companies</t>
  </si>
  <si>
    <t>Amounts due to Associated Companies</t>
  </si>
  <si>
    <t>Net Current Assets/(Liabilities)</t>
  </si>
  <si>
    <t>Shareholders' Funds</t>
  </si>
  <si>
    <t>Share Capital</t>
  </si>
  <si>
    <t xml:space="preserve">Reserves </t>
  </si>
  <si>
    <t>Share Premium</t>
  </si>
  <si>
    <t>Revaluation Reserve</t>
  </si>
  <si>
    <t>Other Reserves</t>
  </si>
  <si>
    <t>Statutory Reserve</t>
  </si>
  <si>
    <t>Retained Profit</t>
  </si>
  <si>
    <t>Minority Interests</t>
  </si>
  <si>
    <t>Long Term Borrowings</t>
  </si>
  <si>
    <t>Deferred Taxation</t>
  </si>
  <si>
    <t>check</t>
  </si>
  <si>
    <t>Marketable Securities</t>
  </si>
  <si>
    <t>Revenue</t>
  </si>
  <si>
    <t>Finance cost</t>
  </si>
  <si>
    <t>Inventories</t>
  </si>
  <si>
    <t>Long Term Investments</t>
  </si>
  <si>
    <t>Investment in Associated Companies</t>
  </si>
  <si>
    <t>ACCOUNTING POLICIES</t>
  </si>
  <si>
    <t>EXCEPTIONAL ITEMS</t>
  </si>
  <si>
    <t>TAXATION</t>
  </si>
  <si>
    <t>Income tax charge/(credit)</t>
  </si>
  <si>
    <t>- current period</t>
  </si>
  <si>
    <t>- prior year</t>
  </si>
  <si>
    <t>Deferred taxation</t>
  </si>
  <si>
    <t>PROFITS ON SALE OF INVESTMENTS AND/OR PROPERTIES</t>
  </si>
  <si>
    <t>There are no sales of investments and/or properties for the current financial year to date.</t>
  </si>
  <si>
    <t>PURCHASES AND SALES OF QUOTED SECURITIES</t>
  </si>
  <si>
    <t xml:space="preserve"> </t>
  </si>
  <si>
    <t xml:space="preserve">   At cost</t>
  </si>
  <si>
    <t xml:space="preserve">   At carrying value</t>
  </si>
  <si>
    <t xml:space="preserve">   At market value</t>
  </si>
  <si>
    <t>Other Investments (Long Term)</t>
  </si>
  <si>
    <t>CHANGES IN THE COMPOSITION OF THE GROUP</t>
  </si>
  <si>
    <t>STATUS OF CORPORATE PROPOSALS</t>
  </si>
  <si>
    <t>SEASONALITY OR CYCLICALITY OF OPERATIONS</t>
  </si>
  <si>
    <t>ISSUANCE OR REPAYMENT OF DEBT AND EQUITY SECURITIES</t>
  </si>
  <si>
    <t>GROUP BORROWINGS</t>
  </si>
  <si>
    <t xml:space="preserve">   Secured</t>
  </si>
  <si>
    <t xml:space="preserve">   Unsecured</t>
  </si>
  <si>
    <t>Total</t>
  </si>
  <si>
    <t xml:space="preserve">US Dollars </t>
  </si>
  <si>
    <t>CONTINGENT LIABILITIES</t>
  </si>
  <si>
    <t>Contingent liabilities of the Group comprise the following :-</t>
  </si>
  <si>
    <t>Letters of guarantee issued in</t>
  </si>
  <si>
    <t>respect of banking facilities</t>
  </si>
  <si>
    <t>OFF BALANCE SHEET FINANCIAL INSTRUMENTS</t>
  </si>
  <si>
    <t>There is no material litigation involving the Group.</t>
  </si>
  <si>
    <t>SEGMENT REPORT</t>
  </si>
  <si>
    <t>Non-shipping</t>
  </si>
  <si>
    <t>Group</t>
  </si>
  <si>
    <t>COMPARISON WITH PRECEDING QUARTER'S RESULTS</t>
  </si>
  <si>
    <t>REVIEW OF PERFORMANCE</t>
  </si>
  <si>
    <t>CURRENT YEAR PROSPECTS</t>
  </si>
  <si>
    <t>VARIANCE OF FORECAST PROFIT/PROFIT GUARANTEE</t>
  </si>
  <si>
    <t>DIVIDENDS</t>
  </si>
  <si>
    <t>Proposed dividends/Dividends payable</t>
  </si>
  <si>
    <t>Other operating income</t>
  </si>
  <si>
    <t>Taxation</t>
  </si>
  <si>
    <t>Ordinary</t>
  </si>
  <si>
    <t>shares</t>
  </si>
  <si>
    <t xml:space="preserve">Share </t>
  </si>
  <si>
    <t>premium</t>
  </si>
  <si>
    <t>Other</t>
  </si>
  <si>
    <t>reserves</t>
  </si>
  <si>
    <t>Retained</t>
  </si>
  <si>
    <t>profits</t>
  </si>
  <si>
    <t>Currency translation differences</t>
  </si>
  <si>
    <t>Net gain not recognised in income statement</t>
  </si>
  <si>
    <t>Net profit</t>
  </si>
  <si>
    <t>Dividends</t>
  </si>
  <si>
    <t>CHANGES IN MATERIAL LITIGATION</t>
  </si>
  <si>
    <t>EARNINGS PER SHARE</t>
  </si>
  <si>
    <t>B16)</t>
  </si>
  <si>
    <t>CHANGES IN ESTIMATES</t>
  </si>
  <si>
    <t>External sales</t>
  </si>
  <si>
    <t>Total revenue</t>
  </si>
  <si>
    <t>Result</t>
  </si>
  <si>
    <t>Shipping</t>
  </si>
  <si>
    <t>Cash Flow from Operations</t>
  </si>
  <si>
    <t>Investing Activities</t>
  </si>
  <si>
    <t>Financing Activities</t>
  </si>
  <si>
    <t>Net Change in Cash &amp; Cash Equivalents</t>
  </si>
  <si>
    <t>Trade &amp; Other Receivables</t>
  </si>
  <si>
    <t>Trade &amp; Other Payables</t>
  </si>
  <si>
    <t>Currency translation difference</t>
  </si>
  <si>
    <t>AUDIT REPORT OF PRECEDING ANNUAL FINANCIAL STATEMENTS</t>
  </si>
  <si>
    <t>There are no variance of forecast profit/ profit guarantee during the current financial year to date.</t>
  </si>
  <si>
    <t>Integrated</t>
  </si>
  <si>
    <t>In respect of earnings per share :-</t>
  </si>
  <si>
    <t>Cash receipts from customers</t>
  </si>
  <si>
    <t>Cash paid to suppliers and employees</t>
  </si>
  <si>
    <t>Taxation paid</t>
  </si>
  <si>
    <t>Cash Flow from Operating Activities</t>
  </si>
  <si>
    <t>Cash &amp; Cash Equivalents at the beginning of the year</t>
  </si>
  <si>
    <t>Equity investments</t>
  </si>
  <si>
    <t>Interest received</t>
  </si>
  <si>
    <t>Repayment of term loans</t>
  </si>
  <si>
    <t>Repayment of Islamic Private Debt Securities</t>
  </si>
  <si>
    <t>Interest paid</t>
  </si>
  <si>
    <t>Dividends paid to minority shareholders of subsidiaries</t>
  </si>
  <si>
    <t>Dividends paid to shareholders of Corporation</t>
  </si>
  <si>
    <t>Distributable</t>
  </si>
  <si>
    <t>Non-distributable</t>
  </si>
  <si>
    <t>REVENUE AND RESULT</t>
  </si>
  <si>
    <t>Profit/(Loss) from operations</t>
  </si>
  <si>
    <t>Other investments</t>
  </si>
  <si>
    <t>*  Included in share capital is one preference share of RM1.</t>
  </si>
  <si>
    <t xml:space="preserve"> Liner Logistics</t>
  </si>
  <si>
    <t>VARIANCE OF ACTUAL RESULTS COMPARED WITH FORECASTED AND SHORTFALL IN PROFIT GUARANTEE</t>
  </si>
  <si>
    <t>Profit from operations</t>
  </si>
  <si>
    <t>Share of results of associated</t>
  </si>
  <si>
    <t>Profit before tax</t>
  </si>
  <si>
    <t>Profit after tax</t>
  </si>
  <si>
    <t xml:space="preserve">Net profit attributable to </t>
  </si>
  <si>
    <t>shareholders of the company</t>
  </si>
  <si>
    <t>Earnings per share based on net profit</t>
  </si>
  <si>
    <t>attributable to shareholders of the company : -</t>
  </si>
  <si>
    <t>(ii)  Diluted (based on 1,859,913,793</t>
  </si>
  <si>
    <t>MALAYSIA INTERNATIONAL SHIPPING CORPORATION BERHAD</t>
  </si>
  <si>
    <t>(Company No.: 8178-H)</t>
  </si>
  <si>
    <t>Page 2 of 8</t>
  </si>
  <si>
    <t>Ships</t>
  </si>
  <si>
    <t>Property and Equipment</t>
  </si>
  <si>
    <t>Non-Current Liabilities</t>
  </si>
  <si>
    <t>Page 3 of 8</t>
  </si>
  <si>
    <t>Capital expenditure</t>
  </si>
  <si>
    <t>Cash Flow from Investing Activities</t>
  </si>
  <si>
    <t>Drawdown of Islamic Private Debt Securities</t>
  </si>
  <si>
    <t>Cash Flow from Financing Activities</t>
  </si>
  <si>
    <t>Page 4 of 8</t>
  </si>
  <si>
    <t>Page 5 of 8</t>
  </si>
  <si>
    <t>NOTES TO THE FINANCIAL REPORT</t>
  </si>
  <si>
    <t>A1.</t>
  </si>
  <si>
    <t xml:space="preserve">The interim financial statements have been prepared in accordance with Malaysian Accounting Standards </t>
  </si>
  <si>
    <t>A2.</t>
  </si>
  <si>
    <t>A3.</t>
  </si>
  <si>
    <t>subject to market fluctuations.</t>
  </si>
  <si>
    <t>A4.</t>
  </si>
  <si>
    <t>A5.</t>
  </si>
  <si>
    <t>A6.</t>
  </si>
  <si>
    <t>A7.</t>
  </si>
  <si>
    <t>A8.</t>
  </si>
  <si>
    <t>Page 6 of 8</t>
  </si>
  <si>
    <t>A9.</t>
  </si>
  <si>
    <t>VALUATION OF SHIPS, PROPERTY AND EQUIPMENT</t>
  </si>
  <si>
    <t>A10.</t>
  </si>
  <si>
    <t>SUBSEQUENT MATERIAL EVENTS</t>
  </si>
  <si>
    <t>A11.</t>
  </si>
  <si>
    <t>A12.</t>
  </si>
  <si>
    <t>B1.</t>
  </si>
  <si>
    <t>B2.</t>
  </si>
  <si>
    <t>B3.</t>
  </si>
  <si>
    <t>B4.</t>
  </si>
  <si>
    <t>The Company did not provide any profit forecast or profit guarantee in any public document.</t>
  </si>
  <si>
    <t>Page 7 of 8</t>
  </si>
  <si>
    <t>B5.</t>
  </si>
  <si>
    <t>B6.</t>
  </si>
  <si>
    <t>B7.</t>
  </si>
  <si>
    <t>i)</t>
  </si>
  <si>
    <t>ii)</t>
  </si>
  <si>
    <t>B8.</t>
  </si>
  <si>
    <t>B9.</t>
  </si>
  <si>
    <t>Page 8 of 8</t>
  </si>
  <si>
    <t>B10.</t>
  </si>
  <si>
    <t>B11.</t>
  </si>
  <si>
    <t>B12.</t>
  </si>
  <si>
    <t>B13.</t>
  </si>
  <si>
    <t xml:space="preserve">The Group does not have in issue any financial instrument or other contract that may entitle its holder to </t>
  </si>
  <si>
    <t>ordinary shares and therefore, dilutive to its basic earnings per share.</t>
  </si>
  <si>
    <t>Page 1 of 8</t>
  </si>
  <si>
    <t>At 1 April 2003</t>
  </si>
  <si>
    <t>QUARTERLY REPORT</t>
  </si>
  <si>
    <t>Redeemable Preference Shares</t>
  </si>
  <si>
    <t>Unsecured</t>
  </si>
  <si>
    <t>Secured</t>
  </si>
  <si>
    <t xml:space="preserve">On 22 July 2003, MISC closed the deal with Neptune Orient Lines Ltd for the acquisition of a 100% interest </t>
  </si>
  <si>
    <t>equity securities, share buy-backs, share cancellation or shares held as treasury shares and resale of</t>
  </si>
  <si>
    <t>treasury shares.</t>
  </si>
  <si>
    <t>Transfer of reserves to retained profit</t>
  </si>
  <si>
    <t>A subsidiary company that was acquired in 1998 has interest rate swap contracts to convert a portion of</t>
  </si>
  <si>
    <t>its floating rate interest obligations. Under these interest rate swap contracts, the subsidiary company</t>
  </si>
  <si>
    <t>concerned agreed with the  counterparties to receive interest at floating rates and to pay interest at a</t>
  </si>
  <si>
    <t>The interest rate swap contracts are secured by a counter-guarantee from certain subsidiary companies</t>
  </si>
  <si>
    <t>and mortgaged on the vessels of these subsidiary companies.</t>
  </si>
  <si>
    <t>The number of ordinary shares used as the denominator in calculating the earnings per share is</t>
  </si>
  <si>
    <t>1,859,914,000.</t>
  </si>
  <si>
    <t>Current Liabilities</t>
  </si>
  <si>
    <t>Cash &amp; Cash Equivalent at the end of the period</t>
  </si>
  <si>
    <t>*</t>
  </si>
  <si>
    <t>secured and unsecured categories is as follows :-</t>
  </si>
  <si>
    <t>Board (MASB) 26 - "Interim Financial Reporting" and Chapter 9 Part K of the Listing Requirements of</t>
  </si>
  <si>
    <t>The valuations of land and buildings have been brought forward without any amendments from the most</t>
  </si>
  <si>
    <t>The income of the Group that is derived from the operations of sea-going Malaysian registered ships is tax</t>
  </si>
  <si>
    <t>exempt under Section 54A of the Income Tax Act, 1967. The taxation charge for the Group is attributable</t>
  </si>
  <si>
    <t>to tax in respect of other activities of the Group.</t>
  </si>
  <si>
    <t>extended to third party</t>
  </si>
  <si>
    <t xml:space="preserve">fixed rate of 7.0% per annum, calculated on the notional principal of USD130,000,000 (RM494,000,000). </t>
  </si>
  <si>
    <t>Taxation for the period comprises</t>
  </si>
  <si>
    <t>the following charge/(credit)</t>
  </si>
  <si>
    <t xml:space="preserve">Except for Liquefied Natural Gas (LNG) transportation business, other businesses of the Group are </t>
  </si>
  <si>
    <t>recent annual audited financial statements as no revaluation has been carried out since 31 March 2004.</t>
  </si>
  <si>
    <t>There is no material change in the composition of the Group.</t>
  </si>
  <si>
    <t>31 MARCH 2004</t>
  </si>
  <si>
    <t>At 1 April 2004</t>
  </si>
  <si>
    <t xml:space="preserve">The figures have not been audited. </t>
  </si>
  <si>
    <t>Energy related</t>
  </si>
  <si>
    <t>There were no other changes in estimates of amounts reported in prior quarters of the current financial</t>
  </si>
  <si>
    <t>The prospects of the shipping industry remain positive. Freight rates continue to remain strong. MISC’s</t>
  </si>
  <si>
    <t>existing long term charters and contracts of affreightment in the LNG and Petroleum businesses will</t>
  </si>
  <si>
    <t>continue to provide the Group with strong and stable earnings.</t>
  </si>
  <si>
    <t>Segmental analysis for the current financial period to date is as follows:</t>
  </si>
  <si>
    <t>Minority interests</t>
  </si>
  <si>
    <t>With the exception to the above transactions, there were no other issuance or repayment of debt and</t>
  </si>
  <si>
    <t>Movement in reserves</t>
  </si>
  <si>
    <t>inaugural USD bond totalling USD1,100 million or RM4,180 million consisting of a USD400 million 5-year</t>
  </si>
  <si>
    <t>tranche and a USD700 million 10-year tranche.</t>
  </si>
  <si>
    <t>On 2 July 2004, the Group, via its wholly-owned subsidiary MISC Capital (Labuan) Limited, issued its</t>
  </si>
  <si>
    <t>Private Debt Securities (PDS) Commercial Papers amounting to RM600 million.</t>
  </si>
  <si>
    <t>With the exception of the above transaction, there were no other additional acquisition or disposal of</t>
  </si>
  <si>
    <t>quoted securities during the financial period to date.</t>
  </si>
  <si>
    <t>statement.</t>
  </si>
  <si>
    <t>The average floating interest rate on these contracts during the quarter was 1.6% per annum (financial</t>
  </si>
  <si>
    <t>CONDENSED CONSOLIDATED BALANCE SHEET AS AT 31 DECEMBER 2004</t>
  </si>
  <si>
    <t>This is a quarterly report on consolidated results for the period ended 31 December 2004.</t>
  </si>
  <si>
    <t>CONDENSED CONSOLIDATED INCOME STATEMENT FOR THE PERIOD ENDED 31 DECEMBER 2004</t>
  </si>
  <si>
    <t>31 DEC 2004</t>
  </si>
  <si>
    <t>31 DEC 2003</t>
  </si>
  <si>
    <t>CONDENSED CONSOLIDATED CASH FLOW STATEMENT FOR THE PERIOD ENDED 31 DECEMBER 2004</t>
  </si>
  <si>
    <t>Bursa Malaysia Berhad (BMB).</t>
  </si>
  <si>
    <t>CONDENSED CONSOLIDATED STATEMENT OF CHANGES IN EQUITY FOR THE PERIOD  ENDED 31 DECEMBER 2004</t>
  </si>
  <si>
    <t>9 MONTHS ENDED 31 DEC 2004</t>
  </si>
  <si>
    <t>At 31  Dec 2004</t>
  </si>
  <si>
    <t>9 MONTHS ENDED 31 DEC 2003</t>
  </si>
  <si>
    <t>At 31  Dec 2003</t>
  </si>
  <si>
    <t>Transfer of reserves from retained profit</t>
  </si>
  <si>
    <t>During the current financial period ended 31 December 2004, the Company made repayments of Islamic</t>
  </si>
  <si>
    <t>No dividend has been proposed for the third quarter.</t>
  </si>
  <si>
    <t>The amount used as numerator for the calculation of basic earnings per share is RM1,018,541,000 for the</t>
  </si>
  <si>
    <t>December 2004 which are the same as the net profits shown in the condensed consolidated income</t>
  </si>
  <si>
    <t>third quarter ended 31 December 2004 and RM2,560,224,000 for the current financial period to 31</t>
  </si>
  <si>
    <t>There are no outstanding corporate proposals submitted by the Group for the quarter ended 31 December 2004.</t>
  </si>
  <si>
    <t>Apr 04-Dec 04</t>
  </si>
  <si>
    <t>The tenure of Group borrowings as at 31 December 2004 classified as short and long term as well as</t>
  </si>
  <si>
    <t>On 22 December 2004, the Group also paid an interim dividend of 20 sen per share tax exempt</t>
  </si>
  <si>
    <t>Investments in quoted securities as at 31 December 2004 are as follows:-</t>
  </si>
  <si>
    <t>Additional acquisition for the period represents reinvestment of dividend received amounting to</t>
  </si>
  <si>
    <t>RM63,510. Proceeds from sale of quoted securities during the same period amounted to RM1,069,512.</t>
  </si>
  <si>
    <t>(2002/2003 : 15 sen) in respect of the 2004/2005 financial year, amounting to RM372.0 million.</t>
  </si>
  <si>
    <t>2003/2004 financial year, amounting to RM279.0 million and RM186.0 million respectively.</t>
  </si>
  <si>
    <t>Sept 04-Dec 04</t>
  </si>
  <si>
    <t>Foreign borrowings in Ringgit Malaysia equivalent as at 31 December 2004 are as follows :-</t>
  </si>
  <si>
    <t>The interest rate swap contracts were terminated earlier than the original expiration date of July 2005 at</t>
  </si>
  <si>
    <t>a cost of USD4,692,000 (RM17,829,600) on 1 December 2004.</t>
  </si>
  <si>
    <t xml:space="preserve">year ended 31 March 2004: 1.2% per annum). </t>
  </si>
  <si>
    <t>The Group PBT was RM426.4 million or 71.1% higher than the preceding quarter. This was mainly due</t>
  </si>
  <si>
    <t xml:space="preserve">incurred by Malaysia Shipyard &amp; Engineering Sdn Bhd during the quarter. </t>
  </si>
  <si>
    <t>Deferred Tax Asset</t>
  </si>
  <si>
    <t>The Group paid a final dividend of 15 sen per share tax exempt (2002/2003 : 15 sen) and a special</t>
  </si>
  <si>
    <t>dividend of 10 sen per share tax exempt (2002/2003 : NIL) on 30 August 2004 in respect of the</t>
  </si>
  <si>
    <t>to significant increase in profit contributions from the Petroleum shipping segment and lower losses</t>
  </si>
  <si>
    <t>The Group Profit Before Tax (PBT) for the third quarter was RM1,026.0 million which is 61.8% higher</t>
  </si>
  <si>
    <t>than the corresponding quarter in the previous financial year.</t>
  </si>
  <si>
    <t>During the quarter ended 31 December 2004, the Group disposed off 4 Liner vessels which resulted in</t>
  </si>
  <si>
    <t>a gain on disposal amounting to RM66.3 million.</t>
  </si>
  <si>
    <t>The significant improvement was the result of higher freight rates, particularly in the Petroleum and</t>
  </si>
  <si>
    <t>On 2 December 2004, the Group entered into an agreement for the disposal of 32 Bulk vessels, on</t>
  </si>
  <si>
    <t>an en-bloc basis. The delivery of these vessels to the new owners has commenced in January 2005</t>
  </si>
  <si>
    <t>and is expected to be completed by 31 March 2005.</t>
  </si>
  <si>
    <t>Liner shipping segments. Also other business segments showed improvements mainly arising from</t>
  </si>
  <si>
    <t xml:space="preserve">higher freight rates and improved operating efficiency. </t>
  </si>
  <si>
    <t>The accounting policies and methods of computation used in the preparation of the Group's Annual</t>
  </si>
  <si>
    <t>Financial Statements for the year ended 31 March 2004 have been consistently applied in the</t>
  </si>
  <si>
    <t>preparation of the quarterly financial statements.</t>
  </si>
  <si>
    <t>There was no qualified report issued by the auditors in the annual financial statements for the year</t>
  </si>
  <si>
    <t>ended 31 March 2004.</t>
  </si>
  <si>
    <t>year or changes in estimates of amounts reported in prior financial years that have a material effect in</t>
  </si>
  <si>
    <t>the current quarter.</t>
  </si>
  <si>
    <t>Prospects for the remaining financial year is expected to be strong as it will include the exceptional</t>
  </si>
  <si>
    <t xml:space="preserve">gain on the disposal of the 32 Bulk vessels as referred to in note A10.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</si>
</sst>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_);[Red]\(#,##0.0\)"/>
    <numFmt numFmtId="178" formatCode="mmmm\-yy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#,##0.00000_);[Red]\(#,##0.00000\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_);\(0\)"/>
    <numFmt numFmtId="187" formatCode="0.00000"/>
    <numFmt numFmtId="188" formatCode="0.0000"/>
    <numFmt numFmtId="189" formatCode="0.000"/>
    <numFmt numFmtId="190" formatCode="m/d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2" fontId="2" fillId="0" borderId="0" xfId="21" applyNumberFormat="1" applyFont="1" applyFill="1" applyBorder="1" applyAlignment="1">
      <alignment/>
    </xf>
    <xf numFmtId="172" fontId="2" fillId="0" borderId="0" xfId="21" applyNumberFormat="1" applyFont="1" applyFill="1" applyAlignment="1">
      <alignment/>
    </xf>
    <xf numFmtId="172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0" xfId="21" applyNumberFormat="1" applyFont="1" applyFill="1" applyAlignment="1">
      <alignment/>
    </xf>
    <xf numFmtId="172" fontId="2" fillId="0" borderId="0" xfId="21" applyNumberFormat="1" applyFont="1" applyFill="1" applyAlignment="1">
      <alignment horizontal="right"/>
    </xf>
    <xf numFmtId="175" fontId="2" fillId="0" borderId="0" xfId="21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1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38" fontId="2" fillId="2" borderId="2" xfId="0" applyNumberFormat="1" applyFont="1" applyFill="1" applyBorder="1" applyAlignment="1">
      <alignment horizontal="right"/>
    </xf>
    <xf numFmtId="38" fontId="2" fillId="2" borderId="0" xfId="15" applyNumberFormat="1" applyFont="1" applyFill="1" applyBorder="1" applyAlignment="1">
      <alignment/>
    </xf>
    <xf numFmtId="38" fontId="2" fillId="2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15" fontId="0" fillId="0" borderId="0" xfId="0" applyNumberFormat="1" applyFont="1" applyFill="1" applyAlignment="1">
      <alignment horizontal="right"/>
    </xf>
    <xf numFmtId="173" fontId="2" fillId="0" borderId="0" xfId="15" applyNumberFormat="1" applyFont="1" applyFill="1" applyAlignment="1">
      <alignment/>
    </xf>
    <xf numFmtId="0" fontId="2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3" borderId="0" xfId="0" applyFont="1" applyFill="1" applyAlignment="1" quotePrefix="1">
      <alignment horizontal="center"/>
    </xf>
    <xf numFmtId="172" fontId="2" fillId="0" borderId="0" xfId="15" applyNumberFormat="1" applyFont="1" applyAlignment="1">
      <alignment/>
    </xf>
    <xf numFmtId="172" fontId="2" fillId="3" borderId="0" xfId="15" applyNumberFormat="1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3" borderId="3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/>
    </xf>
    <xf numFmtId="172" fontId="2" fillId="0" borderId="0" xfId="15" applyNumberFormat="1" applyFont="1" applyAlignment="1">
      <alignment horizontal="left"/>
    </xf>
    <xf numFmtId="172" fontId="2" fillId="3" borderId="0" xfId="15" applyNumberFormat="1" applyFont="1" applyFill="1" applyAlignment="1">
      <alignment horizontal="left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5" fontId="2" fillId="0" borderId="3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3" borderId="4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3" borderId="1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175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190" fontId="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38" fontId="2" fillId="0" borderId="6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21" applyNumberFormat="1" applyFont="1" applyFill="1" applyAlignment="1">
      <alignment horizontal="center"/>
    </xf>
    <xf numFmtId="172" fontId="2" fillId="0" borderId="3" xfId="21" applyNumberFormat="1" applyFont="1" applyFill="1" applyBorder="1" applyAlignment="1">
      <alignment horizontal="center"/>
    </xf>
    <xf numFmtId="172" fontId="2" fillId="0" borderId="4" xfId="21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1" fontId="2" fillId="0" borderId="4" xfId="0" applyNumberFormat="1" applyFont="1" applyFill="1" applyBorder="1" applyAlignment="1">
      <alignment/>
    </xf>
    <xf numFmtId="175" fontId="2" fillId="0" borderId="8" xfId="15" applyNumberFormat="1" applyFont="1" applyBorder="1" applyAlignment="1">
      <alignment/>
    </xf>
    <xf numFmtId="175" fontId="2" fillId="0" borderId="8" xfId="15" applyNumberFormat="1" applyFont="1" applyFill="1" applyBorder="1" applyAlignment="1">
      <alignment/>
    </xf>
    <xf numFmtId="175" fontId="2" fillId="0" borderId="1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175" fontId="2" fillId="0" borderId="1" xfId="15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" xfId="21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38" fontId="2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5" fontId="2" fillId="0" borderId="0" xfId="0" applyNumberFormat="1" applyFont="1" applyAlignment="1">
      <alignment/>
    </xf>
    <xf numFmtId="43" fontId="2" fillId="0" borderId="0" xfId="15" applyNumberFormat="1" applyFont="1" applyFill="1" applyAlignment="1">
      <alignment/>
    </xf>
    <xf numFmtId="41" fontId="2" fillId="0" borderId="12" xfId="15" applyNumberFormat="1" applyFont="1" applyFill="1" applyBorder="1" applyAlignment="1">
      <alignment/>
    </xf>
    <xf numFmtId="175" fontId="2" fillId="0" borderId="0" xfId="15" applyNumberFormat="1" applyFont="1" applyBorder="1" applyAlignment="1">
      <alignment/>
    </xf>
    <xf numFmtId="41" fontId="2" fillId="0" borderId="13" xfId="15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/>
    </xf>
    <xf numFmtId="41" fontId="2" fillId="0" borderId="0" xfId="21" applyNumberFormat="1" applyFont="1" applyFill="1" applyBorder="1" applyAlignment="1">
      <alignment/>
    </xf>
    <xf numFmtId="41" fontId="2" fillId="0" borderId="4" xfId="21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</cellXfs>
  <cellStyles count="18">
    <cellStyle name="Normal" xfId="0"/>
    <cellStyle name="Comma" xfId="15"/>
    <cellStyle name="Comma [0]" xfId="16"/>
    <cellStyle name="Comma [0]_DEC00KLSE" xfId="17"/>
    <cellStyle name="Comma [0]_MAR01KLSENOTES-BOD" xfId="18"/>
    <cellStyle name="Comma [0]_SEPT00KLSECOS" xfId="19"/>
    <cellStyle name="Comma_DEC00KLSE" xfId="20"/>
    <cellStyle name="Comma_MAR01KLSENOTES-BOD" xfId="21"/>
    <cellStyle name="Comma_SEPT00KLSECOS" xfId="22"/>
    <cellStyle name="Currency" xfId="23"/>
    <cellStyle name="Currency [0]" xfId="24"/>
    <cellStyle name="Currency [0]_DEC00KLSE" xfId="25"/>
    <cellStyle name="Currency [0]_MAR01KLSENOTES-BOD" xfId="26"/>
    <cellStyle name="Currency [0]_SEPT00KLSECOS" xfId="27"/>
    <cellStyle name="Currency_DEC00KLSE" xfId="28"/>
    <cellStyle name="Currency_MAR01KLSENOTES-BOD" xfId="29"/>
    <cellStyle name="Currency_SEPT00KLSECO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0</xdr:row>
      <xdr:rowOff>85725</xdr:rowOff>
    </xdr:from>
    <xdr:to>
      <xdr:col>10</xdr:col>
      <xdr:colOff>1152525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4775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10</xdr:col>
      <xdr:colOff>57150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15</xdr:col>
      <xdr:colOff>923925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2400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57150</xdr:rowOff>
    </xdr:from>
    <xdr:to>
      <xdr:col>6</xdr:col>
      <xdr:colOff>628650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114300</xdr:rowOff>
    </xdr:from>
    <xdr:to>
      <xdr:col>13</xdr:col>
      <xdr:colOff>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1430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</xdr:row>
      <xdr:rowOff>47625</xdr:rowOff>
    </xdr:from>
    <xdr:to>
      <xdr:col>14</xdr:col>
      <xdr:colOff>1085850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381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view="pageBreakPreview" zoomScale="75" zoomScaleNormal="75" zoomScaleSheetLayoutView="75" workbookViewId="0" topLeftCell="B1">
      <selection activeCell="B2" sqref="B2"/>
    </sheetView>
  </sheetViews>
  <sheetFormatPr defaultColWidth="9.140625" defaultRowHeight="12.75"/>
  <cols>
    <col min="1" max="1" width="3.00390625" style="26" customWidth="1"/>
    <col min="2" max="2" width="37.57421875" style="26" customWidth="1"/>
    <col min="3" max="3" width="0.13671875" style="32" hidden="1" customWidth="1"/>
    <col min="4" max="4" width="1.28515625" style="4" customWidth="1"/>
    <col min="5" max="5" width="17.28125" style="4" customWidth="1"/>
    <col min="6" max="6" width="6.28125" style="4" customWidth="1"/>
    <col min="7" max="7" width="17.28125" style="4" customWidth="1"/>
    <col min="8" max="8" width="2.7109375" style="4" customWidth="1"/>
    <col min="9" max="9" width="17.28125" style="4" customWidth="1"/>
    <col min="10" max="10" width="5.8515625" style="4" customWidth="1"/>
    <col min="11" max="11" width="17.28125" style="4" customWidth="1"/>
    <col min="12" max="12" width="12.00390625" style="26" bestFit="1" customWidth="1"/>
    <col min="13" max="13" width="12.140625" style="26" bestFit="1" customWidth="1"/>
    <col min="14" max="16384" width="9.140625" style="26" customWidth="1"/>
  </cols>
  <sheetData>
    <row r="2" ht="15.75">
      <c r="A2" s="27" t="s">
        <v>153</v>
      </c>
    </row>
    <row r="3" ht="15">
      <c r="A3" s="52" t="s">
        <v>154</v>
      </c>
    </row>
    <row r="6" ht="15">
      <c r="K6" s="19" t="s">
        <v>204</v>
      </c>
    </row>
    <row r="8" spans="1:11" ht="15.75">
      <c r="A8" s="27" t="s">
        <v>206</v>
      </c>
      <c r="C8" s="26"/>
      <c r="I8" s="26"/>
      <c r="K8" s="26"/>
    </row>
    <row r="9" ht="9" customHeight="1">
      <c r="C9" s="26"/>
    </row>
    <row r="10" spans="1:3" ht="15">
      <c r="A10" s="26" t="s">
        <v>258</v>
      </c>
      <c r="C10" s="26"/>
    </row>
    <row r="11" spans="1:3" ht="15">
      <c r="A11" s="4" t="s">
        <v>239</v>
      </c>
      <c r="C11" s="4"/>
    </row>
    <row r="12" ht="9" customHeight="1">
      <c r="C12" s="26"/>
    </row>
    <row r="13" spans="1:3" ht="15.75">
      <c r="A13" s="27" t="s">
        <v>259</v>
      </c>
      <c r="C13" s="26"/>
    </row>
    <row r="14" spans="3:10" ht="9.75" customHeight="1">
      <c r="C14" s="4" t="s">
        <v>0</v>
      </c>
      <c r="E14" s="16"/>
      <c r="F14" s="28"/>
      <c r="I14" s="16"/>
      <c r="J14" s="28"/>
    </row>
    <row r="15" spans="3:11" ht="9.75" customHeight="1">
      <c r="C15" s="4"/>
      <c r="E15" s="16"/>
      <c r="F15" s="28"/>
      <c r="G15" s="16"/>
      <c r="I15" s="16"/>
      <c r="J15" s="16"/>
      <c r="K15" s="16"/>
    </row>
    <row r="16" spans="3:11" ht="21.75" customHeight="1">
      <c r="C16" s="29" t="s">
        <v>1</v>
      </c>
      <c r="D16" s="5"/>
      <c r="E16" s="150" t="s">
        <v>2</v>
      </c>
      <c r="F16" s="150"/>
      <c r="G16" s="150"/>
      <c r="H16" s="3"/>
      <c r="I16" s="151" t="s">
        <v>3</v>
      </c>
      <c r="J16" s="151"/>
      <c r="K16" s="151"/>
    </row>
    <row r="17" spans="3:11" ht="15.75">
      <c r="C17" s="29" t="s">
        <v>4</v>
      </c>
      <c r="D17" s="16"/>
      <c r="E17" s="46" t="s">
        <v>5</v>
      </c>
      <c r="F17" s="45"/>
      <c r="G17" s="46" t="s">
        <v>6</v>
      </c>
      <c r="H17" s="45"/>
      <c r="I17" s="46" t="s">
        <v>5</v>
      </c>
      <c r="J17" s="46"/>
      <c r="K17" s="46" t="str">
        <f>'Cash Flow'!F12</f>
        <v>PRECEDING</v>
      </c>
    </row>
    <row r="18" spans="2:11" ht="15.75">
      <c r="B18" s="104"/>
      <c r="C18" s="29" t="s">
        <v>7</v>
      </c>
      <c r="D18" s="16"/>
      <c r="E18" s="46" t="s">
        <v>7</v>
      </c>
      <c r="F18" s="45"/>
      <c r="G18" s="46" t="s">
        <v>8</v>
      </c>
      <c r="H18" s="45"/>
      <c r="I18" s="46" t="s">
        <v>7</v>
      </c>
      <c r="J18" s="46"/>
      <c r="K18" s="46" t="str">
        <f>'Cash Flow'!F13</f>
        <v>YEAR</v>
      </c>
    </row>
    <row r="19" spans="3:11" ht="15.75">
      <c r="C19" s="29" t="s">
        <v>9</v>
      </c>
      <c r="D19" s="16"/>
      <c r="E19" s="46" t="s">
        <v>10</v>
      </c>
      <c r="F19" s="45"/>
      <c r="G19" s="46" t="s">
        <v>10</v>
      </c>
      <c r="H19" s="2"/>
      <c r="I19" s="46" t="s">
        <v>11</v>
      </c>
      <c r="J19" s="46"/>
      <c r="K19" s="46" t="str">
        <f>'Cash Flow'!F14</f>
        <v>TO DATE</v>
      </c>
    </row>
    <row r="20" spans="3:12" ht="15.75">
      <c r="C20" s="30">
        <v>36341</v>
      </c>
      <c r="D20" s="31"/>
      <c r="E20" s="47" t="s">
        <v>260</v>
      </c>
      <c r="F20" s="48"/>
      <c r="G20" s="47" t="s">
        <v>261</v>
      </c>
      <c r="H20" s="48"/>
      <c r="I20" s="47" t="str">
        <f>+E20</f>
        <v>31 DEC 2004</v>
      </c>
      <c r="J20" s="47"/>
      <c r="K20" s="49" t="str">
        <f>G20</f>
        <v>31 DEC 2003</v>
      </c>
      <c r="L20" s="137"/>
    </row>
    <row r="21" spans="5:11" ht="15">
      <c r="E21" s="46" t="s">
        <v>14</v>
      </c>
      <c r="F21" s="45"/>
      <c r="G21" s="46" t="s">
        <v>14</v>
      </c>
      <c r="H21" s="45"/>
      <c r="I21" s="46" t="s">
        <v>14</v>
      </c>
      <c r="J21" s="46"/>
      <c r="K21" s="46" t="s">
        <v>14</v>
      </c>
    </row>
    <row r="22" spans="9:11" ht="15.75">
      <c r="I22" s="106"/>
      <c r="K22" s="106"/>
    </row>
    <row r="23" spans="2:13" ht="15">
      <c r="B23" s="26" t="s">
        <v>47</v>
      </c>
      <c r="C23" s="33">
        <v>2483714</v>
      </c>
      <c r="E23" s="34">
        <f>I23-4875331</f>
        <v>2939871</v>
      </c>
      <c r="F23" s="34"/>
      <c r="G23" s="34">
        <f>K23-3309114</f>
        <v>2006058</v>
      </c>
      <c r="H23" s="34"/>
      <c r="I23" s="34">
        <v>7815202</v>
      </c>
      <c r="J23" s="34"/>
      <c r="K23" s="34">
        <f>5315172</f>
        <v>5315172</v>
      </c>
      <c r="M23" s="105"/>
    </row>
    <row r="24" spans="3:13" ht="15">
      <c r="C24" s="33"/>
      <c r="E24" s="35"/>
      <c r="F24" s="35"/>
      <c r="G24" s="35"/>
      <c r="H24" s="34"/>
      <c r="I24" s="35"/>
      <c r="J24" s="35"/>
      <c r="K24" s="35"/>
      <c r="M24" s="105"/>
    </row>
    <row r="25" spans="2:13" ht="15.75" thickBot="1">
      <c r="B25" s="36" t="s">
        <v>91</v>
      </c>
      <c r="C25" s="37">
        <v>26479</v>
      </c>
      <c r="D25" s="25"/>
      <c r="E25" s="128">
        <f>I25-373571</f>
        <v>95886</v>
      </c>
      <c r="F25" s="34"/>
      <c r="G25" s="128">
        <f>K25-28599</f>
        <v>21258</v>
      </c>
      <c r="H25" s="34"/>
      <c r="I25" s="128">
        <v>469457</v>
      </c>
      <c r="J25" s="34"/>
      <c r="K25" s="128">
        <f>49395+462</f>
        <v>49857</v>
      </c>
      <c r="M25" s="105"/>
    </row>
    <row r="26" spans="3:13" ht="15.75" thickTop="1">
      <c r="C26" s="33"/>
      <c r="E26" s="35"/>
      <c r="F26" s="35"/>
      <c r="G26" s="35"/>
      <c r="H26" s="34"/>
      <c r="I26" s="35"/>
      <c r="J26" s="35"/>
      <c r="K26" s="35"/>
      <c r="M26" s="105"/>
    </row>
    <row r="27" spans="2:13" ht="15">
      <c r="B27" s="26" t="s">
        <v>144</v>
      </c>
      <c r="C27" s="33">
        <v>1285826</v>
      </c>
      <c r="E27" s="20">
        <f>I27-1681634</f>
        <v>1138773</v>
      </c>
      <c r="F27" s="34"/>
      <c r="G27" s="34">
        <f>K27-1052446</f>
        <v>677161</v>
      </c>
      <c r="H27" s="23"/>
      <c r="I27" s="20">
        <f>2820154+253</f>
        <v>2820407</v>
      </c>
      <c r="J27" s="35"/>
      <c r="K27" s="20">
        <f>1729145+462</f>
        <v>1729607</v>
      </c>
      <c r="M27" s="105"/>
    </row>
    <row r="28" spans="3:13" ht="15">
      <c r="C28" s="33"/>
      <c r="E28" s="35"/>
      <c r="F28" s="35"/>
      <c r="G28" s="35"/>
      <c r="H28" s="34"/>
      <c r="I28" s="35"/>
      <c r="J28" s="35"/>
      <c r="K28" s="35"/>
      <c r="M28" s="105"/>
    </row>
    <row r="29" spans="2:13" ht="15">
      <c r="B29" s="26" t="s">
        <v>48</v>
      </c>
      <c r="C29" s="33">
        <v>-210063</v>
      </c>
      <c r="E29" s="35">
        <f>I29+190057</f>
        <v>-118190</v>
      </c>
      <c r="F29" s="34"/>
      <c r="G29" s="34">
        <f>K29+96934</f>
        <v>-58406</v>
      </c>
      <c r="H29" s="34"/>
      <c r="I29" s="35">
        <v>-308247</v>
      </c>
      <c r="J29" s="35"/>
      <c r="K29" s="35">
        <v>-155340</v>
      </c>
      <c r="M29" s="105"/>
    </row>
    <row r="30" spans="3:13" ht="15">
      <c r="C30" s="33"/>
      <c r="E30" s="35"/>
      <c r="F30" s="35"/>
      <c r="G30" s="35"/>
      <c r="H30" s="34"/>
      <c r="I30" s="35"/>
      <c r="J30" s="35"/>
      <c r="K30" s="35"/>
      <c r="M30" s="105"/>
    </row>
    <row r="31" spans="2:13" ht="15">
      <c r="B31" s="26" t="s">
        <v>145</v>
      </c>
      <c r="C31" s="33">
        <v>-552701</v>
      </c>
      <c r="E31" s="35"/>
      <c r="F31" s="35"/>
      <c r="G31" s="35"/>
      <c r="H31" s="34"/>
      <c r="I31" s="35"/>
      <c r="J31" s="35"/>
      <c r="K31" s="35"/>
      <c r="M31" s="105"/>
    </row>
    <row r="32" spans="2:13" ht="15">
      <c r="B32" s="26" t="s">
        <v>15</v>
      </c>
      <c r="C32" s="33"/>
      <c r="E32" s="144">
        <f>I32-32590</f>
        <v>5413</v>
      </c>
      <c r="F32" s="34"/>
      <c r="G32" s="144">
        <f>K32-8782</f>
        <v>15195</v>
      </c>
      <c r="H32" s="34"/>
      <c r="I32" s="144">
        <v>38003</v>
      </c>
      <c r="J32" s="35"/>
      <c r="K32" s="144">
        <v>23977</v>
      </c>
      <c r="M32" s="105"/>
    </row>
    <row r="33" spans="3:13" ht="15">
      <c r="C33" s="33"/>
      <c r="E33" s="35"/>
      <c r="F33" s="35"/>
      <c r="G33" s="35"/>
      <c r="H33" s="34"/>
      <c r="I33" s="35"/>
      <c r="J33" s="35"/>
      <c r="K33" s="35"/>
      <c r="M33" s="105"/>
    </row>
    <row r="34" spans="2:13" ht="15">
      <c r="B34" s="26" t="s">
        <v>146</v>
      </c>
      <c r="C34" s="38">
        <f>SUM(C27:C32)</f>
        <v>523062</v>
      </c>
      <c r="E34" s="34">
        <f>SUM(E27:E32)</f>
        <v>1025996</v>
      </c>
      <c r="F34" s="34"/>
      <c r="G34" s="34">
        <f>SUM(G27:G32)</f>
        <v>633950</v>
      </c>
      <c r="H34" s="34"/>
      <c r="I34" s="34">
        <f>SUM(I27:I32)</f>
        <v>2550163</v>
      </c>
      <c r="J34" s="35"/>
      <c r="K34" s="34">
        <f>SUM(K27:K32)</f>
        <v>1598244</v>
      </c>
      <c r="M34" s="105"/>
    </row>
    <row r="35" spans="3:13" ht="15">
      <c r="C35" s="33"/>
      <c r="E35" s="35"/>
      <c r="F35" s="35"/>
      <c r="G35" s="35"/>
      <c r="H35" s="34"/>
      <c r="I35" s="35"/>
      <c r="J35" s="35"/>
      <c r="K35" s="35"/>
      <c r="M35" s="105"/>
    </row>
    <row r="36" spans="2:13" ht="15">
      <c r="B36" s="26" t="s">
        <v>92</v>
      </c>
      <c r="C36" s="33"/>
      <c r="E36" s="22">
        <f>I36+12528</f>
        <v>-5966</v>
      </c>
      <c r="F36" s="34"/>
      <c r="G36" s="144">
        <f>K36+5901</f>
        <v>-5729</v>
      </c>
      <c r="H36" s="23"/>
      <c r="I36" s="22">
        <f>-14349-4145</f>
        <v>-18494</v>
      </c>
      <c r="J36" s="35"/>
      <c r="K36" s="22">
        <v>-11630</v>
      </c>
      <c r="M36" s="105"/>
    </row>
    <row r="37" spans="3:13" ht="15">
      <c r="C37" s="33"/>
      <c r="E37" s="35"/>
      <c r="F37" s="35"/>
      <c r="G37" s="35"/>
      <c r="H37" s="34"/>
      <c r="I37" s="35"/>
      <c r="J37" s="35"/>
      <c r="K37" s="35"/>
      <c r="M37" s="105"/>
    </row>
    <row r="38" spans="2:13" ht="15">
      <c r="B38" s="26" t="s">
        <v>147</v>
      </c>
      <c r="C38" s="39" t="e">
        <f>SUM(C34+#REF!)</f>
        <v>#REF!</v>
      </c>
      <c r="E38" s="35">
        <f>SUM(E34:E36)</f>
        <v>1020030</v>
      </c>
      <c r="F38" s="35"/>
      <c r="G38" s="35">
        <f>SUM(G34:G36)</f>
        <v>628221</v>
      </c>
      <c r="H38" s="34"/>
      <c r="I38" s="35">
        <f>SUM(I34:I36)</f>
        <v>2531669</v>
      </c>
      <c r="J38" s="35"/>
      <c r="K38" s="35">
        <f>SUM(K34:K36)</f>
        <v>1586614</v>
      </c>
      <c r="M38" s="105"/>
    </row>
    <row r="39" spans="3:13" ht="15">
      <c r="C39" s="33"/>
      <c r="E39" s="20"/>
      <c r="F39" s="20"/>
      <c r="G39" s="20"/>
      <c r="H39" s="23"/>
      <c r="I39" s="20"/>
      <c r="J39" s="35"/>
      <c r="K39" s="20"/>
      <c r="M39" s="105"/>
    </row>
    <row r="40" spans="2:13" ht="15">
      <c r="B40" s="26" t="s">
        <v>246</v>
      </c>
      <c r="C40" s="33"/>
      <c r="E40" s="144">
        <f>I40-30044</f>
        <v>-1489</v>
      </c>
      <c r="F40" s="34"/>
      <c r="G40" s="144">
        <f>K40+16954</f>
        <v>-7839</v>
      </c>
      <c r="H40" s="34"/>
      <c r="I40" s="144">
        <v>28555</v>
      </c>
      <c r="J40" s="35"/>
      <c r="K40" s="144">
        <v>-24793</v>
      </c>
      <c r="M40" s="105"/>
    </row>
    <row r="41" spans="3:13" ht="15">
      <c r="C41" s="33"/>
      <c r="E41" s="35"/>
      <c r="F41" s="35"/>
      <c r="G41" s="35"/>
      <c r="H41" s="34"/>
      <c r="I41" s="35"/>
      <c r="J41" s="35"/>
      <c r="K41" s="35"/>
      <c r="M41" s="105"/>
    </row>
    <row r="42" spans="2:13" ht="15.75" thickBot="1">
      <c r="B42" s="26" t="s">
        <v>148</v>
      </c>
      <c r="C42" s="39" t="e">
        <f>SUM(C38:C41)</f>
        <v>#REF!</v>
      </c>
      <c r="E42" s="128">
        <f>SUM(E38:E40)</f>
        <v>1018541</v>
      </c>
      <c r="F42" s="35"/>
      <c r="G42" s="128">
        <f>SUM(G38:G40)</f>
        <v>620382</v>
      </c>
      <c r="H42" s="34"/>
      <c r="I42" s="128">
        <f>SUM(I38:I40)</f>
        <v>2560224</v>
      </c>
      <c r="J42" s="35"/>
      <c r="K42" s="128">
        <f>SUM(K38:K40)</f>
        <v>1561821</v>
      </c>
      <c r="M42" s="105"/>
    </row>
    <row r="43" spans="2:10" ht="15.75" thickTop="1">
      <c r="B43" s="26" t="s">
        <v>149</v>
      </c>
      <c r="C43" s="33"/>
      <c r="E43" s="20"/>
      <c r="F43" s="20"/>
      <c r="H43" s="23"/>
      <c r="I43" s="20"/>
      <c r="J43" s="35"/>
    </row>
    <row r="44" spans="3:10" ht="15">
      <c r="C44" s="33"/>
      <c r="E44" s="35"/>
      <c r="F44" s="35"/>
      <c r="H44" s="34"/>
      <c r="I44" s="35"/>
      <c r="J44" s="35"/>
    </row>
    <row r="45" spans="2:11" ht="15">
      <c r="B45" s="26" t="s">
        <v>150</v>
      </c>
      <c r="C45" s="33"/>
      <c r="E45" s="40"/>
      <c r="F45" s="40"/>
      <c r="G45" s="145"/>
      <c r="H45" s="41"/>
      <c r="I45" s="40"/>
      <c r="J45" s="40"/>
      <c r="K45" s="40"/>
    </row>
    <row r="46" spans="2:11" ht="15">
      <c r="B46" s="26" t="s">
        <v>151</v>
      </c>
      <c r="C46" s="33"/>
      <c r="E46" s="40"/>
      <c r="F46" s="40"/>
      <c r="G46" s="40"/>
      <c r="H46" s="41"/>
      <c r="I46" s="138"/>
      <c r="J46" s="40"/>
      <c r="K46" s="40"/>
    </row>
    <row r="47" spans="3:8" ht="15">
      <c r="C47" s="33"/>
      <c r="H47" s="6"/>
    </row>
    <row r="48" spans="2:8" ht="15">
      <c r="B48" s="26" t="s">
        <v>16</v>
      </c>
      <c r="C48" s="33"/>
      <c r="H48" s="6"/>
    </row>
    <row r="49" spans="2:11" ht="15">
      <c r="B49" s="26" t="s">
        <v>17</v>
      </c>
      <c r="C49" s="33"/>
      <c r="E49" s="50">
        <f>(E42/1859913.793)*100</f>
        <v>54.762806955537215</v>
      </c>
      <c r="F49" s="42"/>
      <c r="G49" s="50">
        <f>(G42/1859913.793)*100</f>
        <v>33.35541691958408</v>
      </c>
      <c r="H49" s="43"/>
      <c r="I49" s="50">
        <f>(I42/1859913.793)*100</f>
        <v>137.65283152561685</v>
      </c>
      <c r="J49" s="42"/>
      <c r="K49" s="50">
        <f>(K42/1859913.793)*100</f>
        <v>83.9727629247169</v>
      </c>
    </row>
    <row r="50" spans="3:8" ht="15">
      <c r="C50" s="33"/>
      <c r="H50" s="6"/>
    </row>
    <row r="51" spans="3:11" ht="6.75" customHeight="1" hidden="1">
      <c r="C51" s="33"/>
      <c r="E51" s="8"/>
      <c r="F51" s="8"/>
      <c r="G51" s="8"/>
      <c r="H51" s="44"/>
      <c r="I51" s="8"/>
      <c r="J51" s="8"/>
      <c r="K51" s="12"/>
    </row>
    <row r="52" ht="6.75" customHeight="1">
      <c r="H52" s="6"/>
    </row>
    <row r="53" spans="2:11" ht="15">
      <c r="B53" s="26" t="s">
        <v>152</v>
      </c>
      <c r="C53" s="33"/>
      <c r="E53" s="50"/>
      <c r="F53" s="42"/>
      <c r="G53" s="50"/>
      <c r="H53" s="43"/>
      <c r="I53" s="50"/>
      <c r="J53" s="42"/>
      <c r="K53" s="50"/>
    </row>
    <row r="54" spans="2:11" ht="15">
      <c r="B54" s="26" t="s">
        <v>17</v>
      </c>
      <c r="C54" s="33"/>
      <c r="E54" s="50">
        <f>E49</f>
        <v>54.762806955537215</v>
      </c>
      <c r="F54" s="42"/>
      <c r="G54" s="50">
        <f>G49</f>
        <v>33.35541691958408</v>
      </c>
      <c r="H54" s="43"/>
      <c r="I54" s="50">
        <f>I49</f>
        <v>137.65283152561685</v>
      </c>
      <c r="J54" s="42"/>
      <c r="K54" s="50">
        <f>K49</f>
        <v>83.9727629247169</v>
      </c>
    </row>
    <row r="55" spans="5:11" ht="15">
      <c r="E55" s="40"/>
      <c r="F55" s="40"/>
      <c r="G55" s="40"/>
      <c r="H55" s="40"/>
      <c r="I55" s="40"/>
      <c r="J55" s="40"/>
      <c r="K55" s="40"/>
    </row>
    <row r="56" spans="5:11" ht="15">
      <c r="E56" s="40"/>
      <c r="F56" s="40"/>
      <c r="G56" s="40"/>
      <c r="H56" s="40"/>
      <c r="I56" s="40"/>
      <c r="J56" s="40"/>
      <c r="K56" s="40"/>
    </row>
    <row r="57" spans="5:11" ht="15">
      <c r="E57" s="40"/>
      <c r="F57" s="40"/>
      <c r="G57" s="40"/>
      <c r="H57" s="40"/>
      <c r="I57" s="40"/>
      <c r="J57" s="40"/>
      <c r="K57" s="40"/>
    </row>
    <row r="58" spans="5:11" ht="15">
      <c r="E58" s="40"/>
      <c r="F58" s="40"/>
      <c r="G58" s="40"/>
      <c r="H58" s="40"/>
      <c r="I58" s="40"/>
      <c r="J58" s="40"/>
      <c r="K58" s="40"/>
    </row>
    <row r="59" spans="5:11" ht="15">
      <c r="E59" s="40"/>
      <c r="F59" s="40"/>
      <c r="G59" s="40"/>
      <c r="H59" s="40"/>
      <c r="I59" s="40"/>
      <c r="J59" s="40"/>
      <c r="K59" s="40"/>
    </row>
    <row r="60" spans="5:11" ht="15">
      <c r="E60" s="40"/>
      <c r="F60" s="40"/>
      <c r="G60" s="40"/>
      <c r="H60" s="40"/>
      <c r="I60" s="40"/>
      <c r="J60" s="40"/>
      <c r="K60" s="40"/>
    </row>
    <row r="61" spans="5:11" ht="15">
      <c r="E61" s="40"/>
      <c r="F61" s="40"/>
      <c r="G61" s="40"/>
      <c r="H61" s="40"/>
      <c r="I61" s="40"/>
      <c r="J61" s="40"/>
      <c r="K61" s="40"/>
    </row>
    <row r="62" spans="5:11" ht="15">
      <c r="E62" s="40"/>
      <c r="F62" s="40"/>
      <c r="G62" s="40"/>
      <c r="H62" s="40"/>
      <c r="I62" s="40"/>
      <c r="J62" s="40"/>
      <c r="K62" s="40"/>
    </row>
    <row r="63" spans="5:11" ht="15">
      <c r="E63" s="40"/>
      <c r="F63" s="40"/>
      <c r="G63" s="40"/>
      <c r="H63" s="40"/>
      <c r="I63" s="40"/>
      <c r="J63" s="40"/>
      <c r="K63" s="40"/>
    </row>
    <row r="83" ht="15">
      <c r="B83" s="26" t="s">
        <v>210</v>
      </c>
    </row>
  </sheetData>
  <sheetProtection password="C724" sheet="1" objects="1" scenarios="1"/>
  <mergeCells count="2">
    <mergeCell ref="E16:G16"/>
    <mergeCell ref="I16:K16"/>
  </mergeCells>
  <printOptions/>
  <pageMargins left="0.681102362" right="0.41" top="0.708661417" bottom="1.15" header="0.511811023622047" footer="0.7"/>
  <pageSetup cellComments="asDisplayed" horizontalDpi="600" verticalDpi="600" orientation="portrait" paperSize="9" scale="70" r:id="rId2"/>
  <headerFooter alignWithMargins="0">
    <oddFooter>&amp;C&amp;12(The Condensed Consolidated Income Statement should be read in conjunction with the Annual Financial Statements
for the year ended 31 March 2004)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65" zoomScaleNormal="70" zoomScaleSheetLayoutView="65" workbookViewId="0" topLeftCell="A1">
      <selection activeCell="D21" sqref="D21"/>
    </sheetView>
  </sheetViews>
  <sheetFormatPr defaultColWidth="7.8515625" defaultRowHeight="12.75"/>
  <cols>
    <col min="1" max="1" width="3.00390625" style="26" customWidth="1"/>
    <col min="2" max="2" width="3.140625" style="26" customWidth="1"/>
    <col min="3" max="3" width="50.00390625" style="26" customWidth="1"/>
    <col min="4" max="4" width="19.28125" style="4" customWidth="1"/>
    <col min="5" max="5" width="5.7109375" style="26" customWidth="1"/>
    <col min="6" max="6" width="19.28125" style="26" customWidth="1"/>
    <col min="7" max="7" width="4.00390625" style="26" customWidth="1"/>
    <col min="8" max="8" width="14.140625" style="26" hidden="1" customWidth="1"/>
    <col min="9" max="9" width="4.140625" style="26" hidden="1" customWidth="1"/>
    <col min="10" max="10" width="14.140625" style="51" hidden="1" customWidth="1"/>
    <col min="11" max="11" width="0.85546875" style="51" hidden="1" customWidth="1"/>
    <col min="12" max="12" width="14.140625" style="51" hidden="1" customWidth="1"/>
    <col min="13" max="14" width="0" style="26" hidden="1" customWidth="1"/>
    <col min="15" max="15" width="13.00390625" style="26" customWidth="1"/>
    <col min="16" max="16" width="14.28125" style="26" customWidth="1"/>
    <col min="17" max="17" width="10.00390625" style="26" bestFit="1" customWidth="1"/>
    <col min="18" max="16384" width="7.8515625" style="26" customWidth="1"/>
  </cols>
  <sheetData>
    <row r="1" ht="15">
      <c r="C1" s="4"/>
    </row>
    <row r="2" spans="1:12" ht="15.75">
      <c r="A2" s="27" t="s">
        <v>153</v>
      </c>
      <c r="C2" s="4"/>
      <c r="E2" s="4"/>
      <c r="F2" s="4"/>
      <c r="G2" s="4"/>
      <c r="H2" s="4"/>
      <c r="I2" s="4"/>
      <c r="J2" s="4"/>
      <c r="K2" s="4"/>
      <c r="L2" s="26"/>
    </row>
    <row r="3" spans="1:12" ht="15">
      <c r="A3" s="52" t="s">
        <v>154</v>
      </c>
      <c r="C3" s="4"/>
      <c r="E3" s="4"/>
      <c r="F3" s="4"/>
      <c r="G3" s="4"/>
      <c r="H3" s="4"/>
      <c r="I3" s="4"/>
      <c r="J3" s="4"/>
      <c r="K3" s="4"/>
      <c r="L3" s="26"/>
    </row>
    <row r="4" spans="3:12" ht="15">
      <c r="C4" s="4"/>
      <c r="E4" s="4"/>
      <c r="F4" s="4"/>
      <c r="G4" s="4"/>
      <c r="H4" s="4"/>
      <c r="I4" s="4"/>
      <c r="J4" s="4"/>
      <c r="K4" s="4"/>
      <c r="L4" s="26"/>
    </row>
    <row r="5" spans="3:12" ht="15">
      <c r="C5" s="4"/>
      <c r="E5" s="4"/>
      <c r="F5" s="4"/>
      <c r="G5" s="4"/>
      <c r="H5" s="4"/>
      <c r="I5" s="4"/>
      <c r="J5" s="4"/>
      <c r="K5" s="4"/>
      <c r="L5" s="26"/>
    </row>
    <row r="6" spans="3:16" ht="15">
      <c r="C6" s="4"/>
      <c r="E6" s="4"/>
      <c r="F6" s="4"/>
      <c r="G6" s="4"/>
      <c r="H6" s="4"/>
      <c r="I6" s="4"/>
      <c r="J6" s="4"/>
      <c r="K6" s="4"/>
      <c r="L6" s="26"/>
      <c r="P6" s="19" t="s">
        <v>155</v>
      </c>
    </row>
    <row r="7" spans="3:12" ht="15">
      <c r="C7" s="4"/>
      <c r="E7" s="4"/>
      <c r="F7" s="4"/>
      <c r="G7" s="4"/>
      <c r="H7" s="4"/>
      <c r="I7" s="4"/>
      <c r="J7" s="4"/>
      <c r="K7" s="4"/>
      <c r="L7" s="26"/>
    </row>
    <row r="8" ht="15.75">
      <c r="A8" s="27" t="s">
        <v>257</v>
      </c>
    </row>
    <row r="9" ht="15.75">
      <c r="A9" s="27"/>
    </row>
    <row r="10" spans="4:8" ht="15">
      <c r="D10" s="46" t="s">
        <v>18</v>
      </c>
      <c r="E10" s="1"/>
      <c r="F10" s="46" t="s">
        <v>18</v>
      </c>
      <c r="H10" s="53" t="s">
        <v>18</v>
      </c>
    </row>
    <row r="11" spans="4:12" ht="15">
      <c r="D11" s="46" t="s">
        <v>19</v>
      </c>
      <c r="E11" s="1"/>
      <c r="F11" s="46" t="s">
        <v>20</v>
      </c>
      <c r="G11" s="53"/>
      <c r="H11" s="53" t="s">
        <v>20</v>
      </c>
      <c r="I11" s="53"/>
      <c r="J11" s="54" t="s">
        <v>18</v>
      </c>
      <c r="K11" s="54"/>
      <c r="L11" s="54" t="s">
        <v>21</v>
      </c>
    </row>
    <row r="12" spans="4:12" ht="15">
      <c r="D12" s="46" t="s">
        <v>5</v>
      </c>
      <c r="E12" s="1"/>
      <c r="F12" s="46" t="s">
        <v>22</v>
      </c>
      <c r="G12" s="53"/>
      <c r="H12" s="53" t="s">
        <v>22</v>
      </c>
      <c r="I12" s="53"/>
      <c r="J12" s="54"/>
      <c r="K12" s="54"/>
      <c r="L12" s="54"/>
    </row>
    <row r="13" spans="4:12" ht="15">
      <c r="D13" s="46" t="s">
        <v>10</v>
      </c>
      <c r="E13" s="1"/>
      <c r="F13" s="46" t="s">
        <v>23</v>
      </c>
      <c r="G13" s="53"/>
      <c r="H13" s="53" t="s">
        <v>23</v>
      </c>
      <c r="I13" s="53"/>
      <c r="J13" s="54"/>
      <c r="K13" s="54"/>
      <c r="L13" s="54"/>
    </row>
    <row r="14" spans="4:12" ht="15">
      <c r="D14" s="47" t="str">
        <f>'Inc.Statements'!I20</f>
        <v>31 DEC 2004</v>
      </c>
      <c r="E14" s="1"/>
      <c r="F14" s="47" t="s">
        <v>237</v>
      </c>
      <c r="G14" s="55"/>
      <c r="H14" s="55" t="s">
        <v>13</v>
      </c>
      <c r="I14" s="55"/>
      <c r="J14" s="56" t="s">
        <v>12</v>
      </c>
      <c r="K14" s="56"/>
      <c r="L14" s="56" t="s">
        <v>13</v>
      </c>
    </row>
    <row r="15" spans="4:12" ht="15">
      <c r="D15" s="46" t="s">
        <v>14</v>
      </c>
      <c r="E15" s="1"/>
      <c r="F15" s="46" t="s">
        <v>14</v>
      </c>
      <c r="G15" s="53"/>
      <c r="H15" s="53" t="s">
        <v>14</v>
      </c>
      <c r="I15" s="53"/>
      <c r="J15" s="54" t="s">
        <v>14</v>
      </c>
      <c r="K15" s="54"/>
      <c r="L15" s="54" t="s">
        <v>14</v>
      </c>
    </row>
    <row r="16" ht="15">
      <c r="F16" s="4"/>
    </row>
    <row r="17" spans="2:6" ht="15">
      <c r="B17" s="26" t="s">
        <v>156</v>
      </c>
      <c r="D17" s="24">
        <f>15467701+2415300</f>
        <v>17883001</v>
      </c>
      <c r="F17" s="24">
        <v>17046067</v>
      </c>
    </row>
    <row r="18" spans="2:12" ht="15">
      <c r="B18" s="26" t="s">
        <v>157</v>
      </c>
      <c r="D18" s="24">
        <v>872965</v>
      </c>
      <c r="F18" s="24">
        <f>17877467-F17</f>
        <v>831400</v>
      </c>
      <c r="G18" s="57"/>
      <c r="H18" s="57">
        <v>11522199</v>
      </c>
      <c r="I18" s="57"/>
      <c r="J18" s="58">
        <v>11198475</v>
      </c>
      <c r="K18" s="58"/>
      <c r="L18" s="58">
        <v>11522199</v>
      </c>
    </row>
    <row r="19" spans="2:12" ht="15">
      <c r="B19" s="26" t="s">
        <v>51</v>
      </c>
      <c r="D19" s="40">
        <v>128211</v>
      </c>
      <c r="F19" s="40">
        <v>134862</v>
      </c>
      <c r="G19" s="57"/>
      <c r="H19" s="57">
        <v>468906</v>
      </c>
      <c r="I19" s="57"/>
      <c r="J19" s="58">
        <v>503229</v>
      </c>
      <c r="K19" s="58"/>
      <c r="L19" s="58">
        <v>468906</v>
      </c>
    </row>
    <row r="20" spans="2:12" ht="15">
      <c r="B20" s="26" t="s">
        <v>50</v>
      </c>
      <c r="D20" s="40">
        <v>236698</v>
      </c>
      <c r="F20" s="40">
        <f>240381-4127</f>
        <v>236254</v>
      </c>
      <c r="G20" s="57"/>
      <c r="H20" s="57">
        <v>81229</v>
      </c>
      <c r="I20" s="57"/>
      <c r="J20" s="58">
        <v>81369</v>
      </c>
      <c r="K20" s="58"/>
      <c r="L20" s="58">
        <f>SUM(D20:J20)</f>
        <v>635550</v>
      </c>
    </row>
    <row r="21" spans="2:15" ht="15">
      <c r="B21" s="26" t="s">
        <v>24</v>
      </c>
      <c r="D21" s="40">
        <v>928756</v>
      </c>
      <c r="F21" s="40">
        <f>623072+369108-16284</f>
        <v>975896</v>
      </c>
      <c r="G21" s="57"/>
      <c r="H21" s="57">
        <v>1433420</v>
      </c>
      <c r="I21" s="57"/>
      <c r="J21" s="58">
        <v>1256472</v>
      </c>
      <c r="K21" s="58"/>
      <c r="L21" s="58">
        <v>1433420</v>
      </c>
      <c r="O21" s="66"/>
    </row>
    <row r="22" spans="2:12" ht="15">
      <c r="B22" s="26" t="s">
        <v>291</v>
      </c>
      <c r="D22" s="40">
        <v>8892</v>
      </c>
      <c r="F22" s="40">
        <v>8849</v>
      </c>
      <c r="G22" s="57"/>
      <c r="H22" s="57"/>
      <c r="I22" s="57"/>
      <c r="J22" s="58"/>
      <c r="K22" s="58"/>
      <c r="L22" s="58"/>
    </row>
    <row r="23" spans="4:15" ht="15">
      <c r="D23" s="59">
        <f>SUM(D17:D22)</f>
        <v>20058523</v>
      </c>
      <c r="F23" s="59">
        <f>SUM(F17:F22)</f>
        <v>19233328</v>
      </c>
      <c r="G23" s="57"/>
      <c r="H23" s="60">
        <f>SUM(H18:H21)</f>
        <v>13505754</v>
      </c>
      <c r="I23" s="60"/>
      <c r="J23" s="61">
        <f>SUM(J18:J21)</f>
        <v>13039545</v>
      </c>
      <c r="K23" s="58"/>
      <c r="L23" s="61">
        <f>SUM(L18:L21)</f>
        <v>14060075</v>
      </c>
      <c r="O23" s="66"/>
    </row>
    <row r="24" spans="2:12" ht="15">
      <c r="B24" s="36"/>
      <c r="C24" s="36"/>
      <c r="D24" s="62"/>
      <c r="E24" s="36"/>
      <c r="F24" s="62"/>
      <c r="G24" s="63"/>
      <c r="H24" s="63"/>
      <c r="I24" s="63"/>
      <c r="J24" s="64"/>
      <c r="K24" s="64"/>
      <c r="L24" s="64"/>
    </row>
    <row r="25" spans="2:12" ht="15">
      <c r="B25" s="26" t="s">
        <v>25</v>
      </c>
      <c r="D25" s="40"/>
      <c r="F25" s="40"/>
      <c r="G25" s="57"/>
      <c r="H25" s="57"/>
      <c r="I25" s="57"/>
      <c r="J25" s="58"/>
      <c r="K25" s="58"/>
      <c r="L25" s="58"/>
    </row>
    <row r="26" spans="3:12" ht="15">
      <c r="C26" s="65" t="s">
        <v>49</v>
      </c>
      <c r="D26" s="40">
        <v>166062</v>
      </c>
      <c r="E26" s="65"/>
      <c r="F26" s="40">
        <v>128486</v>
      </c>
      <c r="G26" s="57"/>
      <c r="H26" s="57">
        <v>29733</v>
      </c>
      <c r="I26" s="57"/>
      <c r="J26" s="58">
        <v>37002</v>
      </c>
      <c r="K26" s="58"/>
      <c r="L26" s="58">
        <v>29733</v>
      </c>
    </row>
    <row r="27" spans="3:16" ht="15">
      <c r="C27" s="65" t="s">
        <v>117</v>
      </c>
      <c r="D27" s="40">
        <v>1392035</v>
      </c>
      <c r="E27" s="65"/>
      <c r="F27" s="40">
        <v>1099660</v>
      </c>
      <c r="G27" s="57"/>
      <c r="H27" s="57">
        <v>194438</v>
      </c>
      <c r="I27" s="57"/>
      <c r="J27" s="58">
        <v>237742</v>
      </c>
      <c r="K27" s="58"/>
      <c r="L27" s="58">
        <v>194438</v>
      </c>
      <c r="O27" s="66"/>
      <c r="P27" s="66"/>
    </row>
    <row r="28" spans="3:12" ht="15">
      <c r="C28" s="65" t="s">
        <v>46</v>
      </c>
      <c r="D28" s="40">
        <v>3897</v>
      </c>
      <c r="E28" s="65"/>
      <c r="F28" s="40">
        <v>5432</v>
      </c>
      <c r="G28" s="57"/>
      <c r="H28" s="57">
        <v>56775</v>
      </c>
      <c r="I28" s="57"/>
      <c r="J28" s="58">
        <v>15752</v>
      </c>
      <c r="K28" s="58"/>
      <c r="L28" s="58">
        <v>56775</v>
      </c>
    </row>
    <row r="29" spans="3:15" ht="15">
      <c r="C29" s="65" t="s">
        <v>26</v>
      </c>
      <c r="D29" s="40">
        <v>2591253</v>
      </c>
      <c r="E29" s="65"/>
      <c r="F29" s="40">
        <v>1853586</v>
      </c>
      <c r="G29" s="57"/>
      <c r="H29" s="57">
        <v>984000</v>
      </c>
      <c r="I29" s="57"/>
      <c r="J29" s="58">
        <f>J20+J25+J26+J27</f>
        <v>356113</v>
      </c>
      <c r="K29" s="58"/>
      <c r="L29" s="58">
        <f>L20+L25+L26+L27</f>
        <v>859721</v>
      </c>
      <c r="O29" s="66"/>
    </row>
    <row r="30" spans="3:12" ht="15">
      <c r="C30" s="65" t="s">
        <v>27</v>
      </c>
      <c r="D30" s="40">
        <v>60661</v>
      </c>
      <c r="E30" s="65"/>
      <c r="F30" s="40">
        <f>33208+330</f>
        <v>33538</v>
      </c>
      <c r="G30" s="57"/>
      <c r="H30" s="57"/>
      <c r="I30" s="57"/>
      <c r="J30" s="58">
        <v>22789</v>
      </c>
      <c r="K30" s="58"/>
      <c r="L30" s="58">
        <v>0</v>
      </c>
    </row>
    <row r="31" spans="3:15" ht="15">
      <c r="C31" s="65" t="s">
        <v>28</v>
      </c>
      <c r="D31" s="40">
        <v>3428</v>
      </c>
      <c r="E31" s="65"/>
      <c r="F31" s="40">
        <f>3224+331-2071</f>
        <v>1484</v>
      </c>
      <c r="G31" s="57"/>
      <c r="H31" s="57">
        <v>22620</v>
      </c>
      <c r="I31" s="57"/>
      <c r="J31" s="58">
        <v>26177</v>
      </c>
      <c r="K31" s="58"/>
      <c r="L31" s="58">
        <v>22620</v>
      </c>
      <c r="O31" s="66"/>
    </row>
    <row r="32" spans="3:17" ht="15">
      <c r="C32" s="65"/>
      <c r="D32" s="67">
        <f>SUM(D25:D31)</f>
        <v>4217336</v>
      </c>
      <c r="E32" s="65"/>
      <c r="F32" s="67">
        <f>SUM(F25:F31)</f>
        <v>3122186</v>
      </c>
      <c r="G32" s="57"/>
      <c r="H32" s="60">
        <f>SUM(H26:H31)</f>
        <v>1287566</v>
      </c>
      <c r="I32" s="60"/>
      <c r="J32" s="61">
        <f>SUM(J26:J31)</f>
        <v>695575</v>
      </c>
      <c r="K32" s="58"/>
      <c r="L32" s="61">
        <f>SUM(L26:L31)</f>
        <v>1163287</v>
      </c>
      <c r="P32" s="68"/>
      <c r="Q32" s="66"/>
    </row>
    <row r="33" spans="3:12" ht="15">
      <c r="C33" s="65"/>
      <c r="D33" s="40"/>
      <c r="E33" s="65"/>
      <c r="F33" s="40"/>
      <c r="G33" s="57"/>
      <c r="H33" s="57"/>
      <c r="I33" s="57"/>
      <c r="J33" s="58"/>
      <c r="K33" s="58"/>
      <c r="L33" s="58"/>
    </row>
    <row r="34" spans="2:12" ht="15">
      <c r="B34" s="26" t="s">
        <v>221</v>
      </c>
      <c r="D34" s="40"/>
      <c r="F34" s="40"/>
      <c r="G34" s="57"/>
      <c r="H34" s="57"/>
      <c r="I34" s="57"/>
      <c r="J34" s="58"/>
      <c r="K34" s="58"/>
      <c r="L34" s="58"/>
    </row>
    <row r="35" spans="3:12" ht="15">
      <c r="C35" s="65" t="s">
        <v>29</v>
      </c>
      <c r="D35" s="40">
        <v>2391180</v>
      </c>
      <c r="E35" s="65"/>
      <c r="F35" s="40">
        <v>5189770</v>
      </c>
      <c r="G35" s="57"/>
      <c r="H35" s="57">
        <v>522678</v>
      </c>
      <c r="I35" s="57"/>
      <c r="J35" s="58">
        <f>1658931-850000-200000</f>
        <v>608931</v>
      </c>
      <c r="K35" s="58"/>
      <c r="L35" s="58">
        <v>522678</v>
      </c>
    </row>
    <row r="36" spans="3:15" ht="15">
      <c r="C36" s="65" t="s">
        <v>118</v>
      </c>
      <c r="D36" s="40">
        <v>1575517</v>
      </c>
      <c r="E36" s="65"/>
      <c r="F36" s="40">
        <v>1204020</v>
      </c>
      <c r="G36" s="57"/>
      <c r="H36" s="57">
        <v>501158</v>
      </c>
      <c r="I36" s="57"/>
      <c r="J36" s="58">
        <v>467371</v>
      </c>
      <c r="K36" s="58"/>
      <c r="L36" s="58">
        <v>501158</v>
      </c>
      <c r="O36" s="66"/>
    </row>
    <row r="37" spans="3:12" ht="15">
      <c r="C37" s="65" t="s">
        <v>30</v>
      </c>
      <c r="D37" s="40">
        <v>11297</v>
      </c>
      <c r="E37" s="65"/>
      <c r="F37" s="40">
        <v>3951</v>
      </c>
      <c r="G37" s="57"/>
      <c r="H37" s="57">
        <v>15574</v>
      </c>
      <c r="I37" s="57"/>
      <c r="J37" s="58">
        <v>10890</v>
      </c>
      <c r="K37" s="58"/>
      <c r="L37" s="58">
        <v>15574</v>
      </c>
    </row>
    <row r="38" spans="3:12" ht="15">
      <c r="C38" s="65" t="s">
        <v>31</v>
      </c>
      <c r="D38" s="40">
        <v>45070</v>
      </c>
      <c r="E38" s="65"/>
      <c r="F38" s="40">
        <f>62774+43038</f>
        <v>105812</v>
      </c>
      <c r="G38" s="57"/>
      <c r="H38" s="57">
        <v>199678</v>
      </c>
      <c r="I38" s="57"/>
      <c r="J38" s="58">
        <v>239072</v>
      </c>
      <c r="K38" s="58"/>
      <c r="L38" s="58">
        <v>199678</v>
      </c>
    </row>
    <row r="39" spans="3:15" ht="15">
      <c r="C39" s="65" t="s">
        <v>32</v>
      </c>
      <c r="D39" s="40">
        <v>2978</v>
      </c>
      <c r="E39" s="65"/>
      <c r="F39" s="40">
        <v>1147</v>
      </c>
      <c r="G39" s="57"/>
      <c r="H39" s="57">
        <v>20950</v>
      </c>
      <c r="I39" s="57"/>
      <c r="J39" s="58">
        <v>16629</v>
      </c>
      <c r="K39" s="58"/>
      <c r="L39" s="58">
        <v>20950</v>
      </c>
      <c r="O39" s="66"/>
    </row>
    <row r="40" spans="3:12" ht="15" hidden="1">
      <c r="C40" s="65" t="s">
        <v>90</v>
      </c>
      <c r="D40" s="40"/>
      <c r="E40" s="65"/>
      <c r="F40" s="40">
        <v>0</v>
      </c>
      <c r="G40" s="57"/>
      <c r="H40" s="57">
        <v>185991</v>
      </c>
      <c r="I40" s="57"/>
      <c r="J40" s="58">
        <v>0</v>
      </c>
      <c r="K40" s="58"/>
      <c r="L40" s="58">
        <v>185991</v>
      </c>
    </row>
    <row r="41" spans="4:12" ht="15">
      <c r="D41" s="59">
        <f>SUM(D35:D40)</f>
        <v>4026042</v>
      </c>
      <c r="F41" s="59">
        <f>SUM(F35:F40)</f>
        <v>6504700</v>
      </c>
      <c r="G41" s="57"/>
      <c r="H41" s="60">
        <f>SUM(H35:H40)</f>
        <v>1446029</v>
      </c>
      <c r="I41" s="60"/>
      <c r="J41" s="61">
        <f>SUM(J35:J40)</f>
        <v>1342893</v>
      </c>
      <c r="K41" s="58"/>
      <c r="L41" s="61">
        <f>SUM(L35:L40)</f>
        <v>1446029</v>
      </c>
    </row>
    <row r="42" spans="4:12" ht="15">
      <c r="D42" s="40"/>
      <c r="F42" s="40"/>
      <c r="G42" s="57"/>
      <c r="H42" s="57"/>
      <c r="I42" s="57"/>
      <c r="J42" s="58"/>
      <c r="K42" s="58"/>
      <c r="L42" s="58"/>
    </row>
    <row r="43" spans="2:12" ht="15">
      <c r="B43" s="26" t="s">
        <v>33</v>
      </c>
      <c r="D43" s="40">
        <f>D32-D41</f>
        <v>191294</v>
      </c>
      <c r="F43" s="40">
        <f>F32-F41</f>
        <v>-3382514</v>
      </c>
      <c r="G43" s="57"/>
      <c r="H43" s="57">
        <f>SUM(H32-H41)</f>
        <v>-158463</v>
      </c>
      <c r="I43" s="57"/>
      <c r="J43" s="58">
        <f>SUM(J32-J41)</f>
        <v>-647318</v>
      </c>
      <c r="K43" s="58"/>
      <c r="L43" s="58">
        <f>SUM(L32-L41)</f>
        <v>-282742</v>
      </c>
    </row>
    <row r="44" spans="4:12" ht="15.75" thickBot="1">
      <c r="D44" s="69">
        <f>D43+D23</f>
        <v>20249817</v>
      </c>
      <c r="F44" s="69">
        <f>F43+F23</f>
        <v>15850814</v>
      </c>
      <c r="G44" s="57"/>
      <c r="H44" s="69">
        <f>SUM(H18+H19+H20+H21+H43)</f>
        <v>13347291</v>
      </c>
      <c r="I44" s="69"/>
      <c r="J44" s="70">
        <f>SUM(J18+J19+J20+J21+J43)</f>
        <v>12392227</v>
      </c>
      <c r="K44" s="58"/>
      <c r="L44" s="70">
        <f>SUM(L18+L19+L20+L21+L43)</f>
        <v>13777333</v>
      </c>
    </row>
    <row r="45" spans="4:12" ht="15.75" thickTop="1">
      <c r="D45" s="71"/>
      <c r="F45" s="71"/>
      <c r="G45" s="57"/>
      <c r="H45" s="57"/>
      <c r="I45" s="57"/>
      <c r="J45" s="58"/>
      <c r="K45" s="58"/>
      <c r="L45" s="58"/>
    </row>
    <row r="46" spans="4:12" ht="15">
      <c r="D46" s="40"/>
      <c r="F46" s="40"/>
      <c r="G46" s="57"/>
      <c r="H46" s="57"/>
      <c r="I46" s="57"/>
      <c r="J46" s="58"/>
      <c r="K46" s="58"/>
      <c r="L46" s="58"/>
    </row>
    <row r="47" spans="2:12" ht="15">
      <c r="B47" s="26" t="s">
        <v>34</v>
      </c>
      <c r="D47" s="40"/>
      <c r="F47" s="40"/>
      <c r="G47" s="57"/>
      <c r="H47" s="57"/>
      <c r="I47" s="57"/>
      <c r="J47" s="58"/>
      <c r="K47" s="58"/>
      <c r="L47" s="58"/>
    </row>
    <row r="48" spans="2:12" ht="15">
      <c r="B48" s="26" t="s">
        <v>35</v>
      </c>
      <c r="D48" s="57">
        <v>1859914</v>
      </c>
      <c r="F48" s="57">
        <v>1859914</v>
      </c>
      <c r="G48" s="57"/>
      <c r="H48" s="57">
        <v>1859914</v>
      </c>
      <c r="I48" s="57"/>
      <c r="J48" s="58">
        <v>1859914</v>
      </c>
      <c r="K48" s="58"/>
      <c r="L48" s="58">
        <v>1859914</v>
      </c>
    </row>
    <row r="49" spans="2:12" ht="15">
      <c r="B49" s="26" t="s">
        <v>37</v>
      </c>
      <c r="D49" s="57">
        <v>460882</v>
      </c>
      <c r="E49" s="65"/>
      <c r="F49" s="57">
        <v>460882</v>
      </c>
      <c r="G49" s="57"/>
      <c r="H49" s="57"/>
      <c r="I49" s="57"/>
      <c r="J49" s="58"/>
      <c r="K49" s="58"/>
      <c r="L49" s="58"/>
    </row>
    <row r="50" spans="2:12" ht="15">
      <c r="B50" s="26" t="s">
        <v>36</v>
      </c>
      <c r="D50" s="40"/>
      <c r="F50" s="40"/>
      <c r="G50" s="57"/>
      <c r="H50" s="57"/>
      <c r="I50" s="57"/>
      <c r="J50" s="58"/>
      <c r="K50" s="58"/>
      <c r="L50" s="58"/>
    </row>
    <row r="51" spans="3:12" ht="15">
      <c r="C51" s="65" t="s">
        <v>38</v>
      </c>
      <c r="D51" s="40">
        <v>35272</v>
      </c>
      <c r="E51" s="65"/>
      <c r="F51" s="40">
        <v>35272</v>
      </c>
      <c r="G51" s="57"/>
      <c r="H51" s="57">
        <v>38921</v>
      </c>
      <c r="I51" s="57"/>
      <c r="J51" s="58">
        <v>38921</v>
      </c>
      <c r="K51" s="58"/>
      <c r="L51" s="58">
        <v>38921</v>
      </c>
    </row>
    <row r="52" spans="3:15" ht="15">
      <c r="C52" s="65" t="s">
        <v>39</v>
      </c>
      <c r="D52" s="40">
        <f>1185+41481+5509</f>
        <v>48175</v>
      </c>
      <c r="E52" s="65"/>
      <c r="F52" s="24">
        <f>3794+1185+41618</f>
        <v>46597</v>
      </c>
      <c r="G52" s="57"/>
      <c r="H52" s="57">
        <v>43484</v>
      </c>
      <c r="I52" s="57"/>
      <c r="J52" s="58">
        <v>43419</v>
      </c>
      <c r="K52" s="58"/>
      <c r="L52" s="58">
        <v>43484</v>
      </c>
      <c r="O52" s="65"/>
    </row>
    <row r="53" spans="3:12" ht="15">
      <c r="C53" s="65" t="s">
        <v>40</v>
      </c>
      <c r="D53" s="40">
        <v>22828</v>
      </c>
      <c r="E53" s="65"/>
      <c r="F53" s="40">
        <v>18124</v>
      </c>
      <c r="G53" s="57"/>
      <c r="H53" s="57">
        <v>28839</v>
      </c>
      <c r="I53" s="57"/>
      <c r="J53" s="58">
        <v>30568</v>
      </c>
      <c r="K53" s="58"/>
      <c r="L53" s="58">
        <v>28839</v>
      </c>
    </row>
    <row r="54" spans="3:12" ht="15">
      <c r="C54" s="65" t="s">
        <v>41</v>
      </c>
      <c r="D54" s="72">
        <v>10649698</v>
      </c>
      <c r="E54" s="65"/>
      <c r="F54" s="72">
        <v>8931002</v>
      </c>
      <c r="G54" s="57"/>
      <c r="H54" s="73">
        <v>4576853</v>
      </c>
      <c r="I54" s="73"/>
      <c r="J54" s="74">
        <v>5579206</v>
      </c>
      <c r="K54" s="58"/>
      <c r="L54" s="74">
        <v>4576853</v>
      </c>
    </row>
    <row r="55" spans="3:12" ht="15">
      <c r="C55" s="65"/>
      <c r="D55" s="40">
        <f>SUM(D48:D54)</f>
        <v>13076769</v>
      </c>
      <c r="E55" s="65"/>
      <c r="F55" s="40">
        <f>SUM(F48:F54)</f>
        <v>11351791</v>
      </c>
      <c r="G55" s="57"/>
      <c r="H55" s="57">
        <f>SUM(H48:H54)</f>
        <v>6548011</v>
      </c>
      <c r="I55" s="57"/>
      <c r="J55" s="58">
        <f>SUM(J48:J54)</f>
        <v>7552028</v>
      </c>
      <c r="K55" s="58"/>
      <c r="L55" s="58">
        <f>SUM(L48:L54)</f>
        <v>6548011</v>
      </c>
    </row>
    <row r="56" spans="4:12" ht="15">
      <c r="D56" s="40"/>
      <c r="F56" s="40"/>
      <c r="G56" s="57"/>
      <c r="H56" s="57"/>
      <c r="I56" s="57"/>
      <c r="J56" s="58"/>
      <c r="K56" s="58"/>
      <c r="L56" s="58"/>
    </row>
    <row r="57" spans="2:12" ht="15">
      <c r="B57" s="26" t="s">
        <v>42</v>
      </c>
      <c r="D57" s="40">
        <v>202908</v>
      </c>
      <c r="F57" s="40">
        <v>251247</v>
      </c>
      <c r="G57" s="57"/>
      <c r="H57" s="57">
        <v>46781</v>
      </c>
      <c r="I57" s="57"/>
      <c r="J57" s="58">
        <v>34790</v>
      </c>
      <c r="K57" s="58"/>
      <c r="L57" s="58">
        <v>46781</v>
      </c>
    </row>
    <row r="58" spans="4:12" ht="15">
      <c r="D58" s="40"/>
      <c r="F58" s="40"/>
      <c r="G58" s="57"/>
      <c r="H58" s="57"/>
      <c r="I58" s="57"/>
      <c r="J58" s="58"/>
      <c r="K58" s="58"/>
      <c r="L58" s="58"/>
    </row>
    <row r="59" spans="2:12" ht="15">
      <c r="B59" s="26" t="s">
        <v>158</v>
      </c>
      <c r="D59" s="40"/>
      <c r="F59" s="40"/>
      <c r="G59" s="57"/>
      <c r="H59" s="57"/>
      <c r="I59" s="57"/>
      <c r="J59" s="58"/>
      <c r="K59" s="58"/>
      <c r="L59" s="58"/>
    </row>
    <row r="60" spans="3:12" ht="15">
      <c r="C60" s="65" t="s">
        <v>43</v>
      </c>
      <c r="D60" s="40">
        <f>6867337+22807</f>
        <v>6890144</v>
      </c>
      <c r="F60" s="40">
        <v>4166481</v>
      </c>
      <c r="G60" s="57"/>
      <c r="H60" s="57">
        <v>6669072</v>
      </c>
      <c r="I60" s="57"/>
      <c r="J60" s="58">
        <f>4976695+850000+200000</f>
        <v>6026695</v>
      </c>
      <c r="K60" s="58"/>
      <c r="L60" s="58">
        <v>6669072</v>
      </c>
    </row>
    <row r="61" spans="3:12" ht="15">
      <c r="C61" s="65" t="s">
        <v>44</v>
      </c>
      <c r="D61" s="40">
        <v>79996</v>
      </c>
      <c r="E61" s="65"/>
      <c r="F61" s="40">
        <v>81295</v>
      </c>
      <c r="G61" s="57"/>
      <c r="H61" s="57">
        <v>22067</v>
      </c>
      <c r="I61" s="57"/>
      <c r="J61" s="58">
        <v>23265</v>
      </c>
      <c r="K61" s="58"/>
      <c r="L61" s="58">
        <v>22067</v>
      </c>
    </row>
    <row r="62" spans="4:12" ht="15.75" thickBot="1">
      <c r="D62" s="75">
        <f>SUM(D55:D61)</f>
        <v>20249817</v>
      </c>
      <c r="F62" s="75">
        <f>SUM(F55:F61)</f>
        <v>15850814</v>
      </c>
      <c r="G62" s="57"/>
      <c r="H62" s="69">
        <f>SUM(H57:H61)+H55</f>
        <v>13285931</v>
      </c>
      <c r="I62" s="69"/>
      <c r="J62" s="70">
        <f>SUM(J57:J61)+J55</f>
        <v>13636778</v>
      </c>
      <c r="K62" s="58"/>
      <c r="L62" s="70">
        <f>SUM(L57:L61)+L55</f>
        <v>13285931</v>
      </c>
    </row>
    <row r="63" spans="4:12" ht="15.75" thickTop="1">
      <c r="D63" s="40">
        <f>D44-D62</f>
        <v>0</v>
      </c>
      <c r="F63" s="40">
        <f>F44-F62</f>
        <v>0</v>
      </c>
      <c r="G63" s="57"/>
      <c r="H63" s="57"/>
      <c r="I63" s="57"/>
      <c r="J63" s="58"/>
      <c r="K63" s="58"/>
      <c r="L63" s="58"/>
    </row>
    <row r="64" spans="4:12" ht="15">
      <c r="D64" s="66"/>
      <c r="F64" s="66"/>
      <c r="G64" s="57"/>
      <c r="H64" s="57"/>
      <c r="I64" s="57"/>
      <c r="J64" s="58"/>
      <c r="K64" s="58"/>
      <c r="L64" s="58"/>
    </row>
    <row r="65" spans="3:12" ht="15" hidden="1">
      <c r="C65" s="76" t="s">
        <v>45</v>
      </c>
      <c r="D65" s="77" t="str">
        <f>IF(D62-D44&gt;1,D62-D44,IF(D62-D44&lt;-1,D62-D44,"ngam"))</f>
        <v>ngam</v>
      </c>
      <c r="E65" s="76"/>
      <c r="F65" s="77" t="str">
        <f>IF(F62-F44&gt;1,F62-F44,IF(F62-F44&lt;-1,F62-F44,"ngam"))</f>
        <v>ngam</v>
      </c>
      <c r="H65" s="78">
        <f>IF(H62-H44&gt;1,H62-H44,IF(H62-H44&lt;-1,H62-H44,"ngam"))</f>
        <v>-61360</v>
      </c>
      <c r="I65" s="78"/>
      <c r="J65" s="79">
        <f>IF(J62-J44&gt;1,J62-J44,IF(J62-J44&lt;-1,J62-J44,"ngam"))</f>
        <v>1244551</v>
      </c>
      <c r="L65" s="79">
        <f>IF(L62-L44&gt;1,L62-L44,IF(L62-L44&lt;-1,L62-L44,"ngam"))</f>
        <v>-491402</v>
      </c>
    </row>
    <row r="66" spans="4:6" ht="12.75" customHeight="1">
      <c r="D66" s="40"/>
      <c r="F66" s="40"/>
    </row>
    <row r="67" ht="12.75" customHeight="1"/>
  </sheetData>
  <sheetProtection password="C724" sheet="1" objects="1" scenarios="1"/>
  <printOptions/>
  <pageMargins left="0.63" right="0.6" top="0.78740157480315" bottom="1.15" header="0.511811023622047" footer="0.7"/>
  <pageSetup horizontalDpi="600" verticalDpi="600" orientation="portrait" paperSize="9" scale="69" r:id="rId2"/>
  <headerFooter alignWithMargins="0">
    <oddFooter>&amp;C&amp;12(The Condensed Consolidated Balance Sheet should be read in conjunction with the Annual Financial Statements
for the year ended 31 March 2004)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70" zoomScaleNormal="72" zoomScaleSheetLayoutView="70" workbookViewId="0" topLeftCell="A1">
      <selection activeCell="C18" sqref="C18"/>
    </sheetView>
  </sheetViews>
  <sheetFormatPr defaultColWidth="9.140625" defaultRowHeight="12.75"/>
  <cols>
    <col min="1" max="2" width="3.00390625" style="26" customWidth="1"/>
    <col min="3" max="3" width="62.140625" style="26" customWidth="1"/>
    <col min="4" max="4" width="17.8515625" style="4" customWidth="1"/>
    <col min="5" max="5" width="7.7109375" style="4" customWidth="1"/>
    <col min="6" max="6" width="20.00390625" style="4" customWidth="1"/>
    <col min="7" max="7" width="10.57421875" style="4" customWidth="1"/>
    <col min="8" max="8" width="9.140625" style="4" customWidth="1"/>
    <col min="9" max="16384" width="9.140625" style="26" customWidth="1"/>
  </cols>
  <sheetData>
    <row r="1" spans="3:11" ht="15">
      <c r="C1" s="4"/>
      <c r="I1" s="4"/>
      <c r="J1" s="4"/>
      <c r="K1" s="4"/>
    </row>
    <row r="2" spans="1:11" ht="15.75">
      <c r="A2" s="27" t="s">
        <v>153</v>
      </c>
      <c r="C2" s="4"/>
      <c r="I2" s="4"/>
      <c r="J2" s="4"/>
      <c r="K2" s="4"/>
    </row>
    <row r="3" spans="1:11" ht="15">
      <c r="A3" s="52" t="s">
        <v>154</v>
      </c>
      <c r="C3" s="4"/>
      <c r="I3" s="4"/>
      <c r="J3" s="4"/>
      <c r="K3" s="4"/>
    </row>
    <row r="4" spans="3:11" ht="15">
      <c r="C4" s="4"/>
      <c r="I4" s="4"/>
      <c r="J4" s="4"/>
      <c r="K4" s="4"/>
    </row>
    <row r="5" spans="6:8" ht="6" customHeight="1">
      <c r="F5" s="26"/>
      <c r="H5" s="26"/>
    </row>
    <row r="6" spans="6:8" ht="16.5" customHeight="1">
      <c r="F6" s="26"/>
      <c r="G6" s="19" t="s">
        <v>159</v>
      </c>
      <c r="H6" s="26"/>
    </row>
    <row r="7" spans="6:8" ht="16.5" customHeight="1">
      <c r="F7" s="26"/>
      <c r="H7" s="26"/>
    </row>
    <row r="8" spans="1:8" ht="20.25" customHeight="1">
      <c r="A8" s="5" t="s">
        <v>262</v>
      </c>
      <c r="B8" s="5"/>
      <c r="C8" s="4"/>
      <c r="G8" s="26"/>
      <c r="H8" s="26"/>
    </row>
    <row r="9" spans="1:2" ht="16.5" customHeight="1">
      <c r="A9" s="80"/>
      <c r="B9" s="27"/>
    </row>
    <row r="10" spans="1:2" ht="11.25" customHeight="1">
      <c r="A10" s="27"/>
      <c r="B10" s="27"/>
    </row>
    <row r="11" spans="4:6" ht="15.75" customHeight="1">
      <c r="D11" s="150" t="s">
        <v>3</v>
      </c>
      <c r="E11" s="150"/>
      <c r="F11" s="150"/>
    </row>
    <row r="12" spans="4:6" ht="15.75" customHeight="1">
      <c r="D12" s="46" t="s">
        <v>5</v>
      </c>
      <c r="E12" s="2"/>
      <c r="F12" s="107" t="s">
        <v>20</v>
      </c>
    </row>
    <row r="13" spans="4:6" ht="15.75" customHeight="1">
      <c r="D13" s="46" t="s">
        <v>7</v>
      </c>
      <c r="E13" s="2"/>
      <c r="F13" s="107" t="s">
        <v>7</v>
      </c>
    </row>
    <row r="14" spans="4:6" ht="15.75" customHeight="1">
      <c r="D14" s="46" t="s">
        <v>11</v>
      </c>
      <c r="E14" s="2"/>
      <c r="F14" s="107" t="s">
        <v>11</v>
      </c>
    </row>
    <row r="15" spans="4:6" ht="15.75" customHeight="1">
      <c r="D15" s="107" t="str">
        <f>'Inc.Statements'!E20</f>
        <v>31 DEC 2004</v>
      </c>
      <c r="E15" s="2"/>
      <c r="F15" s="107" t="str">
        <f>'Inc.Statements'!G20</f>
        <v>31 DEC 2003</v>
      </c>
    </row>
    <row r="16" spans="4:6" ht="15.75" customHeight="1">
      <c r="D16" s="46" t="s">
        <v>14</v>
      </c>
      <c r="E16" s="2"/>
      <c r="F16" s="46" t="s">
        <v>14</v>
      </c>
    </row>
    <row r="17" spans="4:6" ht="11.25" customHeight="1">
      <c r="D17" s="20"/>
      <c r="E17" s="20"/>
      <c r="F17" s="20"/>
    </row>
    <row r="18" spans="4:9" ht="15">
      <c r="D18" s="20"/>
      <c r="E18" s="20"/>
      <c r="I18" s="81"/>
    </row>
    <row r="19" spans="2:6" ht="15" hidden="1">
      <c r="B19" s="26" t="s">
        <v>124</v>
      </c>
      <c r="D19" s="20">
        <v>4018005</v>
      </c>
      <c r="E19" s="20"/>
      <c r="F19" s="20">
        <v>4131457</v>
      </c>
    </row>
    <row r="20" spans="4:12" ht="15" hidden="1">
      <c r="D20" s="20"/>
      <c r="E20" s="20"/>
      <c r="F20" s="20"/>
      <c r="L20" s="105">
        <f>SUM(D20:J20)</f>
        <v>0</v>
      </c>
    </row>
    <row r="21" spans="2:6" ht="15" hidden="1">
      <c r="B21" s="26" t="s">
        <v>125</v>
      </c>
      <c r="D21" s="22">
        <v>-2372354</v>
      </c>
      <c r="E21" s="20"/>
      <c r="F21" s="22">
        <v>-2200739</v>
      </c>
    </row>
    <row r="22" spans="4:6" ht="15" hidden="1">
      <c r="D22" s="23"/>
      <c r="E22" s="20"/>
      <c r="F22" s="23"/>
    </row>
    <row r="23" spans="2:6" ht="15" hidden="1">
      <c r="B23" s="26" t="s">
        <v>113</v>
      </c>
      <c r="D23" s="20">
        <f>SUM(D19:D21)</f>
        <v>1645651</v>
      </c>
      <c r="E23" s="20"/>
      <c r="F23" s="20">
        <f>SUM(F19:F21)</f>
        <v>1930718</v>
      </c>
    </row>
    <row r="24" spans="2:6" ht="15" hidden="1">
      <c r="B24" s="26" t="s">
        <v>126</v>
      </c>
      <c r="D24" s="20">
        <v>-1423</v>
      </c>
      <c r="E24" s="20"/>
      <c r="F24" s="20">
        <v>-14601</v>
      </c>
    </row>
    <row r="25" spans="4:5" ht="15" hidden="1">
      <c r="D25" s="20"/>
      <c r="E25" s="20"/>
    </row>
    <row r="26" spans="4:5" ht="15">
      <c r="D26" s="20"/>
      <c r="E26" s="20"/>
    </row>
    <row r="27" spans="1:8" ht="15">
      <c r="A27" s="26" t="s">
        <v>127</v>
      </c>
      <c r="D27" s="121">
        <v>3334479</v>
      </c>
      <c r="E27" s="23"/>
      <c r="F27" s="121">
        <f>2301208</f>
        <v>2301208</v>
      </c>
      <c r="G27" s="20"/>
      <c r="H27" s="20"/>
    </row>
    <row r="28" spans="4:6" ht="15">
      <c r="D28" s="121"/>
      <c r="E28" s="23"/>
      <c r="F28" s="121"/>
    </row>
    <row r="29" spans="1:12" ht="15" hidden="1">
      <c r="A29" s="26" t="s">
        <v>114</v>
      </c>
      <c r="D29" s="121"/>
      <c r="E29" s="23"/>
      <c r="F29" s="121"/>
      <c r="J29" s="26">
        <f>J20+J25+J26+J27</f>
        <v>0</v>
      </c>
      <c r="L29" s="26">
        <f>L20+L25+L26+L27</f>
        <v>0</v>
      </c>
    </row>
    <row r="30" spans="2:6" ht="15" hidden="1">
      <c r="B30" s="26" t="s">
        <v>129</v>
      </c>
      <c r="C30" s="82"/>
      <c r="D30" s="121"/>
      <c r="E30" s="23"/>
      <c r="F30" s="121"/>
    </row>
    <row r="31" spans="2:6" ht="15" hidden="1">
      <c r="B31" s="26" t="s">
        <v>160</v>
      </c>
      <c r="C31" s="82"/>
      <c r="D31" s="121"/>
      <c r="E31" s="23"/>
      <c r="F31" s="121"/>
    </row>
    <row r="32" spans="2:6" ht="15" hidden="1">
      <c r="B32" s="26" t="s">
        <v>140</v>
      </c>
      <c r="C32" s="82"/>
      <c r="D32" s="121"/>
      <c r="E32" s="23"/>
      <c r="F32" s="121"/>
    </row>
    <row r="33" spans="2:6" ht="15" hidden="1">
      <c r="B33" s="26" t="s">
        <v>130</v>
      </c>
      <c r="C33" s="82"/>
      <c r="D33" s="121"/>
      <c r="E33" s="23"/>
      <c r="F33" s="121"/>
    </row>
    <row r="34" spans="1:8" ht="15">
      <c r="A34" s="26" t="s">
        <v>161</v>
      </c>
      <c r="C34" s="82"/>
      <c r="D34" s="121">
        <v>-1364145</v>
      </c>
      <c r="E34" s="23"/>
      <c r="F34" s="121">
        <v>-4510479</v>
      </c>
      <c r="G34" s="20"/>
      <c r="H34" s="20"/>
    </row>
    <row r="35" spans="4:6" ht="15">
      <c r="D35" s="121"/>
      <c r="E35" s="23"/>
      <c r="F35" s="121"/>
    </row>
    <row r="36" spans="1:6" ht="15" hidden="1">
      <c r="A36" s="26" t="s">
        <v>115</v>
      </c>
      <c r="D36" s="121"/>
      <c r="E36" s="23"/>
      <c r="F36" s="121"/>
    </row>
    <row r="37" spans="2:6" ht="15" hidden="1">
      <c r="B37" s="26" t="s">
        <v>131</v>
      </c>
      <c r="C37" s="82"/>
      <c r="D37" s="121"/>
      <c r="E37" s="23"/>
      <c r="F37" s="121"/>
    </row>
    <row r="38" spans="2:6" ht="15" hidden="1">
      <c r="B38" s="26" t="s">
        <v>162</v>
      </c>
      <c r="C38" s="82"/>
      <c r="D38" s="121"/>
      <c r="E38" s="23"/>
      <c r="F38" s="121"/>
    </row>
    <row r="39" spans="2:6" ht="15" hidden="1">
      <c r="B39" s="26" t="s">
        <v>132</v>
      </c>
      <c r="C39" s="82"/>
      <c r="D39" s="121"/>
      <c r="E39" s="23"/>
      <c r="F39" s="121"/>
    </row>
    <row r="40" spans="2:6" ht="15" hidden="1">
      <c r="B40" s="26" t="s">
        <v>135</v>
      </c>
      <c r="C40" s="82"/>
      <c r="D40" s="121"/>
      <c r="E40" s="6"/>
      <c r="F40" s="121"/>
    </row>
    <row r="41" spans="2:6" ht="15" hidden="1">
      <c r="B41" s="26" t="s">
        <v>134</v>
      </c>
      <c r="C41" s="82"/>
      <c r="D41" s="121"/>
      <c r="E41" s="23"/>
      <c r="F41" s="121"/>
    </row>
    <row r="42" spans="2:6" ht="15" hidden="1">
      <c r="B42" s="26" t="s">
        <v>133</v>
      </c>
      <c r="C42" s="82"/>
      <c r="D42" s="121"/>
      <c r="E42" s="23"/>
      <c r="F42" s="121"/>
    </row>
    <row r="43" spans="1:8" ht="15">
      <c r="A43" s="26" t="s">
        <v>163</v>
      </c>
      <c r="C43" s="82"/>
      <c r="D43" s="121">
        <v>-1231946</v>
      </c>
      <c r="E43" s="23"/>
      <c r="F43" s="121">
        <v>2910524</v>
      </c>
      <c r="G43" s="20"/>
      <c r="H43" s="20"/>
    </row>
    <row r="44" spans="4:6" ht="15.75" thickBot="1">
      <c r="D44" s="122"/>
      <c r="E44" s="20"/>
      <c r="F44" s="122"/>
    </row>
    <row r="45" spans="1:6" ht="15">
      <c r="A45" s="26" t="s">
        <v>116</v>
      </c>
      <c r="D45" s="121">
        <f>+D27+D34+D43</f>
        <v>738388</v>
      </c>
      <c r="E45" s="20"/>
      <c r="F45" s="121">
        <f>+F27+F34+F43</f>
        <v>701253</v>
      </c>
    </row>
    <row r="46" spans="4:6" ht="15">
      <c r="D46" s="114"/>
      <c r="E46" s="20"/>
      <c r="F46" s="114"/>
    </row>
    <row r="47" spans="1:6" ht="15">
      <c r="A47" s="26" t="s">
        <v>128</v>
      </c>
      <c r="D47" s="114">
        <v>1853586</v>
      </c>
      <c r="E47" s="20"/>
      <c r="F47" s="114">
        <v>1018980</v>
      </c>
    </row>
    <row r="48" spans="4:6" ht="15">
      <c r="D48" s="114"/>
      <c r="E48" s="20"/>
      <c r="F48" s="114"/>
    </row>
    <row r="49" spans="1:6" ht="15">
      <c r="A49" s="26" t="s">
        <v>119</v>
      </c>
      <c r="D49" s="114">
        <v>-721</v>
      </c>
      <c r="E49" s="20"/>
      <c r="F49" s="114">
        <v>5891</v>
      </c>
    </row>
    <row r="50" spans="4:6" ht="15">
      <c r="D50" s="114"/>
      <c r="E50" s="20"/>
      <c r="F50" s="114"/>
    </row>
    <row r="51" spans="1:6" ht="15.75" thickBot="1">
      <c r="A51" s="26" t="s">
        <v>222</v>
      </c>
      <c r="D51" s="124">
        <f>+D45+D47+D49</f>
        <v>2591253</v>
      </c>
      <c r="E51" s="20"/>
      <c r="F51" s="124">
        <f>+F45+F47+F49</f>
        <v>1726124</v>
      </c>
    </row>
    <row r="52" ht="11.25" customHeight="1" thickTop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</sheetData>
  <sheetProtection password="C724" sheet="1" objects="1" scenarios="1"/>
  <mergeCells count="1">
    <mergeCell ref="D11:F11"/>
  </mergeCells>
  <printOptions/>
  <pageMargins left="0.6811" right="0.61" top="0.786" bottom="1.14" header="0.5118" footer="0.7"/>
  <pageSetup horizontalDpi="600" verticalDpi="600" orientation="portrait" paperSize="9" scale="70" r:id="rId2"/>
  <headerFooter alignWithMargins="0">
    <oddFooter>&amp;C&amp;12(The Condensed Consolidated Cash Flow Statement should be read in conjunction with the Annual Financial Statements
for the year ended 31 March 2004)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="60" zoomScaleNormal="75" workbookViewId="0" topLeftCell="A1">
      <selection activeCell="D21" sqref="D21"/>
    </sheetView>
  </sheetViews>
  <sheetFormatPr defaultColWidth="9.140625" defaultRowHeight="16.5" customHeight="1"/>
  <cols>
    <col min="1" max="2" width="3.00390625" style="84" customWidth="1"/>
    <col min="3" max="3" width="42.28125" style="84" customWidth="1"/>
    <col min="4" max="4" width="17.140625" style="84" bestFit="1" customWidth="1"/>
    <col min="5" max="5" width="2.421875" style="84" customWidth="1"/>
    <col min="6" max="6" width="12.00390625" style="84" customWidth="1"/>
    <col min="7" max="7" width="2.421875" style="84" customWidth="1"/>
    <col min="8" max="8" width="12.421875" style="84" customWidth="1"/>
    <col min="9" max="9" width="2.421875" style="84" customWidth="1"/>
    <col min="10" max="10" width="14.57421875" style="84" customWidth="1"/>
    <col min="11" max="11" width="2.421875" style="84" customWidth="1"/>
    <col min="12" max="12" width="15.28125" style="84" customWidth="1"/>
    <col min="13" max="13" width="2.8515625" style="84" customWidth="1"/>
    <col min="14" max="16384" width="9.140625" style="84" customWidth="1"/>
  </cols>
  <sheetData>
    <row r="2" ht="16.5" customHeight="1">
      <c r="A2" s="83" t="s">
        <v>153</v>
      </c>
    </row>
    <row r="3" ht="16.5" customHeight="1">
      <c r="A3" s="85" t="s">
        <v>154</v>
      </c>
    </row>
    <row r="5" ht="16.5" customHeight="1">
      <c r="M5" s="108" t="s">
        <v>164</v>
      </c>
    </row>
    <row r="7" ht="16.5" customHeight="1">
      <c r="F7" s="86"/>
    </row>
    <row r="8" ht="16.5" customHeight="1">
      <c r="A8" s="83" t="s">
        <v>264</v>
      </c>
    </row>
    <row r="9" ht="16.5" customHeight="1">
      <c r="A9" s="83"/>
    </row>
    <row r="10" ht="16.5" customHeight="1">
      <c r="A10" s="83"/>
    </row>
    <row r="12" spans="1:10" ht="16.5" customHeight="1">
      <c r="A12" s="83"/>
      <c r="D12" s="87" t="s">
        <v>35</v>
      </c>
      <c r="E12" s="123" t="s">
        <v>223</v>
      </c>
      <c r="F12" s="152" t="s">
        <v>137</v>
      </c>
      <c r="G12" s="152"/>
      <c r="H12" s="152"/>
      <c r="J12" s="84" t="s">
        <v>136</v>
      </c>
    </row>
    <row r="13" ht="16.5" customHeight="1">
      <c r="A13" s="83"/>
    </row>
    <row r="14" spans="1:12" ht="16.5" customHeight="1">
      <c r="A14" s="83"/>
      <c r="D14" s="87" t="s">
        <v>93</v>
      </c>
      <c r="F14" s="87" t="s">
        <v>95</v>
      </c>
      <c r="H14" s="87" t="s">
        <v>97</v>
      </c>
      <c r="J14" s="87" t="s">
        <v>99</v>
      </c>
      <c r="L14" s="87"/>
    </row>
    <row r="15" spans="1:12" ht="16.5" customHeight="1">
      <c r="A15" s="83"/>
      <c r="D15" s="87" t="s">
        <v>94</v>
      </c>
      <c r="F15" s="87" t="s">
        <v>96</v>
      </c>
      <c r="H15" s="87" t="s">
        <v>98</v>
      </c>
      <c r="J15" s="87" t="s">
        <v>100</v>
      </c>
      <c r="L15" s="87" t="s">
        <v>74</v>
      </c>
    </row>
    <row r="16" spans="4:12" ht="16.5" customHeight="1">
      <c r="D16" s="87" t="s">
        <v>14</v>
      </c>
      <c r="F16" s="87" t="s">
        <v>14</v>
      </c>
      <c r="H16" s="87" t="s">
        <v>14</v>
      </c>
      <c r="J16" s="87" t="s">
        <v>14</v>
      </c>
      <c r="L16" s="87" t="s">
        <v>14</v>
      </c>
    </row>
    <row r="18" ht="16.5" customHeight="1">
      <c r="A18" s="84" t="s">
        <v>265</v>
      </c>
    </row>
    <row r="20" spans="1:12" ht="16.5" customHeight="1">
      <c r="A20" s="84" t="s">
        <v>238</v>
      </c>
      <c r="D20" s="84">
        <v>1859914</v>
      </c>
      <c r="F20" s="84">
        <v>460882</v>
      </c>
      <c r="H20" s="84">
        <v>99993</v>
      </c>
      <c r="J20" s="84">
        <v>8931002</v>
      </c>
      <c r="L20" s="84">
        <f>SUM(D20:J20)</f>
        <v>11351791</v>
      </c>
    </row>
    <row r="21" spans="4:12" ht="16.5" customHeight="1"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16.5" customHeight="1">
      <c r="A22" s="84" t="s">
        <v>101</v>
      </c>
      <c r="C22" s="114"/>
      <c r="D22" s="115">
        <v>0</v>
      </c>
      <c r="E22" s="116"/>
      <c r="F22" s="116">
        <v>0</v>
      </c>
      <c r="G22" s="116"/>
      <c r="H22" s="116">
        <v>1715</v>
      </c>
      <c r="I22" s="116"/>
      <c r="J22" s="116">
        <v>0</v>
      </c>
      <c r="K22" s="116"/>
      <c r="L22" s="117">
        <f>SUM(D22:J22)</f>
        <v>1715</v>
      </c>
    </row>
    <row r="23" spans="1:12" ht="16.5" customHeight="1">
      <c r="A23" s="84" t="s">
        <v>269</v>
      </c>
      <c r="C23" s="114"/>
      <c r="D23" s="118">
        <v>0</v>
      </c>
      <c r="E23" s="119"/>
      <c r="F23" s="119">
        <v>0</v>
      </c>
      <c r="G23" s="119"/>
      <c r="H23" s="119">
        <v>4567</v>
      </c>
      <c r="I23" s="119"/>
      <c r="J23" s="119">
        <v>-4567</v>
      </c>
      <c r="K23" s="119"/>
      <c r="L23" s="120">
        <f>SUM(D23:J23)</f>
        <v>0</v>
      </c>
    </row>
    <row r="24" spans="3:12" ht="16.5" customHeight="1">
      <c r="C24" s="114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6.5" customHeight="1">
      <c r="A25" s="84" t="s">
        <v>102</v>
      </c>
      <c r="C25" s="114"/>
      <c r="D25" s="114">
        <f>SUM(D22:D24)</f>
        <v>0</v>
      </c>
      <c r="E25" s="114"/>
      <c r="F25" s="114">
        <f>SUM(F22:F24)</f>
        <v>0</v>
      </c>
      <c r="G25" s="114"/>
      <c r="H25" s="114">
        <f>SUM(H22:H24)</f>
        <v>6282</v>
      </c>
      <c r="I25" s="114"/>
      <c r="J25" s="114">
        <f>SUM(J22:J24)</f>
        <v>-4567</v>
      </c>
      <c r="K25" s="114"/>
      <c r="L25" s="114">
        <f>SUM(L22:L24)</f>
        <v>1715</v>
      </c>
    </row>
    <row r="26" spans="1:12" ht="16.5" customHeight="1">
      <c r="A26" s="84" t="s">
        <v>103</v>
      </c>
      <c r="C26" s="114"/>
      <c r="D26" s="114">
        <v>0</v>
      </c>
      <c r="E26" s="114"/>
      <c r="F26" s="114">
        <v>0</v>
      </c>
      <c r="G26" s="114"/>
      <c r="H26" s="114">
        <v>0</v>
      </c>
      <c r="I26" s="114"/>
      <c r="J26" s="114">
        <f>'Inc.Statements'!I42</f>
        <v>2560224</v>
      </c>
      <c r="K26" s="114"/>
      <c r="L26" s="114">
        <f>SUM(D26:J26)</f>
        <v>2560224</v>
      </c>
    </row>
    <row r="27" spans="1:12" ht="16.5" customHeight="1">
      <c r="A27" s="84" t="s">
        <v>104</v>
      </c>
      <c r="D27" s="84">
        <v>0</v>
      </c>
      <c r="F27" s="84">
        <v>0</v>
      </c>
      <c r="H27" s="84">
        <v>0</v>
      </c>
      <c r="J27" s="84">
        <v>-836961</v>
      </c>
      <c r="L27" s="84">
        <f>SUM(D27:J27)</f>
        <v>-836961</v>
      </c>
    </row>
    <row r="28" spans="4:12" ht="16.5" customHeight="1"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6.5" customHeight="1">
      <c r="A29" s="84" t="s">
        <v>266</v>
      </c>
      <c r="D29" s="84">
        <f>D20+D25+D26+D27</f>
        <v>1859914</v>
      </c>
      <c r="F29" s="84">
        <f>F20+F25+F26+F27</f>
        <v>460882</v>
      </c>
      <c r="H29" s="84">
        <f>H20+H25+H26+H27</f>
        <v>106275</v>
      </c>
      <c r="J29" s="84">
        <f>J20+J25+J26+J27</f>
        <v>10649698</v>
      </c>
      <c r="L29" s="84">
        <f>L20+L25+L26+L27</f>
        <v>13076769</v>
      </c>
    </row>
    <row r="30" spans="4:12" ht="16.5" customHeight="1">
      <c r="D30" s="90"/>
      <c r="E30" s="90"/>
      <c r="F30" s="90"/>
      <c r="G30" s="90"/>
      <c r="H30" s="90"/>
      <c r="I30" s="90"/>
      <c r="J30" s="90"/>
      <c r="K30" s="90"/>
      <c r="L30" s="90"/>
    </row>
    <row r="31" spans="4:12" ht="16.5" customHeight="1">
      <c r="D31" s="88"/>
      <c r="E31" s="88"/>
      <c r="F31" s="88"/>
      <c r="G31" s="88"/>
      <c r="H31" s="121">
        <f>SUM('Bal.Sheet'!D51:D53)-H29</f>
        <v>0</v>
      </c>
      <c r="I31" s="121"/>
      <c r="J31" s="121">
        <f>J29-'Bal.Sheet'!D54</f>
        <v>0</v>
      </c>
      <c r="K31" s="121"/>
      <c r="L31" s="121"/>
    </row>
    <row r="32" spans="4:12" ht="16.5" customHeight="1">
      <c r="D32" s="88"/>
      <c r="E32" s="88"/>
      <c r="F32" s="88"/>
      <c r="G32" s="88"/>
      <c r="H32" s="121"/>
      <c r="I32" s="121"/>
      <c r="J32" s="121"/>
      <c r="K32" s="121"/>
      <c r="L32" s="121"/>
    </row>
    <row r="33" spans="1:12" ht="16.5" customHeight="1">
      <c r="A33" s="84" t="s">
        <v>267</v>
      </c>
      <c r="D33" s="88"/>
      <c r="E33" s="88"/>
      <c r="F33" s="88"/>
      <c r="G33" s="88"/>
      <c r="H33" s="88"/>
      <c r="I33" s="88"/>
      <c r="J33" s="88"/>
      <c r="K33" s="88"/>
      <c r="L33" s="88"/>
    </row>
    <row r="34" spans="4:12" ht="16.5" customHeight="1">
      <c r="D34" s="88"/>
      <c r="E34" s="88"/>
      <c r="F34" s="88"/>
      <c r="G34" s="88"/>
      <c r="H34" s="88"/>
      <c r="I34" s="88"/>
      <c r="J34" s="88"/>
      <c r="K34" s="88"/>
      <c r="L34" s="88"/>
    </row>
    <row r="35" spans="1:12" ht="16.5" customHeight="1">
      <c r="A35" s="84" t="s">
        <v>205</v>
      </c>
      <c r="D35" s="105">
        <v>1859914</v>
      </c>
      <c r="E35" s="105"/>
      <c r="F35" s="105">
        <v>460882</v>
      </c>
      <c r="G35" s="105"/>
      <c r="H35" s="105">
        <v>96802</v>
      </c>
      <c r="I35" s="105"/>
      <c r="J35" s="105">
        <v>7200722</v>
      </c>
      <c r="K35" s="105"/>
      <c r="L35" s="105">
        <f>SUM(D35:J35)</f>
        <v>9618320</v>
      </c>
    </row>
    <row r="36" spans="4:12" ht="16.5" customHeight="1"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6.5" customHeight="1">
      <c r="A37" s="110" t="s">
        <v>101</v>
      </c>
      <c r="B37" s="26"/>
      <c r="C37" s="26"/>
      <c r="D37" s="115">
        <v>0</v>
      </c>
      <c r="E37" s="116"/>
      <c r="F37" s="116">
        <v>0</v>
      </c>
      <c r="G37" s="125"/>
      <c r="H37" s="126">
        <v>4696</v>
      </c>
      <c r="I37" s="125"/>
      <c r="J37" s="116">
        <v>0</v>
      </c>
      <c r="K37" s="125"/>
      <c r="L37" s="109">
        <f>SUM(D37:J37)</f>
        <v>4696</v>
      </c>
    </row>
    <row r="38" spans="1:12" ht="16.5" customHeight="1">
      <c r="A38" s="84" t="s">
        <v>213</v>
      </c>
      <c r="B38" s="26"/>
      <c r="C38" s="26"/>
      <c r="D38" s="139"/>
      <c r="E38" s="89"/>
      <c r="F38" s="89"/>
      <c r="G38" s="140"/>
      <c r="H38" s="41">
        <v>-113</v>
      </c>
      <c r="I38" s="140"/>
      <c r="J38" s="89">
        <v>113</v>
      </c>
      <c r="K38" s="140"/>
      <c r="L38" s="141">
        <f>SUM(H38:J38)</f>
        <v>0</v>
      </c>
    </row>
    <row r="39" spans="1:12" ht="16.5" customHeight="1">
      <c r="A39" s="84" t="s">
        <v>248</v>
      </c>
      <c r="B39" s="26"/>
      <c r="C39" s="26"/>
      <c r="D39" s="118">
        <v>0</v>
      </c>
      <c r="E39" s="119"/>
      <c r="F39" s="119">
        <v>0</v>
      </c>
      <c r="G39" s="127"/>
      <c r="H39" s="129">
        <v>56</v>
      </c>
      <c r="I39" s="127"/>
      <c r="J39" s="119">
        <v>0</v>
      </c>
      <c r="K39" s="127"/>
      <c r="L39" s="120">
        <f>SUM(D39:J39)</f>
        <v>56</v>
      </c>
    </row>
    <row r="40" spans="1:12" ht="16.5" customHeight="1">
      <c r="A40" s="110"/>
      <c r="D40" s="88"/>
      <c r="E40" s="88"/>
      <c r="F40" s="88"/>
      <c r="G40" s="88"/>
      <c r="H40" s="88"/>
      <c r="I40" s="88"/>
      <c r="J40" s="88"/>
      <c r="K40" s="88"/>
      <c r="L40" s="88"/>
    </row>
    <row r="41" spans="1:12" ht="16.5" customHeight="1">
      <c r="A41" s="110" t="s">
        <v>102</v>
      </c>
      <c r="D41" s="114">
        <f>SUM(D37:D40)</f>
        <v>0</v>
      </c>
      <c r="E41" s="114"/>
      <c r="F41" s="114">
        <f>SUM(F37:F40)</f>
        <v>0</v>
      </c>
      <c r="G41" s="114"/>
      <c r="H41" s="114">
        <f>SUM(H37:H40)</f>
        <v>4639</v>
      </c>
      <c r="I41" s="114"/>
      <c r="J41" s="114">
        <f>SUM(J37:J40)</f>
        <v>113</v>
      </c>
      <c r="K41" s="114"/>
      <c r="L41" s="114">
        <f>SUM(L37:L40)</f>
        <v>4752</v>
      </c>
    </row>
    <row r="42" spans="1:12" ht="16.5" customHeight="1">
      <c r="A42" s="110" t="s">
        <v>103</v>
      </c>
      <c r="B42" s="26"/>
      <c r="C42" s="26"/>
      <c r="D42" s="114">
        <v>0</v>
      </c>
      <c r="E42" s="114"/>
      <c r="F42" s="114">
        <v>0</v>
      </c>
      <c r="G42" s="114"/>
      <c r="H42" s="114">
        <v>0</v>
      </c>
      <c r="I42" s="114"/>
      <c r="J42" s="114">
        <f>'Inc.Statements'!K42</f>
        <v>1561821</v>
      </c>
      <c r="K42" s="114"/>
      <c r="L42" s="114">
        <f>J42</f>
        <v>1561821</v>
      </c>
    </row>
    <row r="43" spans="1:12" ht="16.5" customHeight="1">
      <c r="A43" s="110" t="s">
        <v>104</v>
      </c>
      <c r="B43" s="26"/>
      <c r="C43" s="26"/>
      <c r="D43" s="84">
        <v>0</v>
      </c>
      <c r="F43" s="84">
        <v>0</v>
      </c>
      <c r="H43" s="84">
        <v>0</v>
      </c>
      <c r="J43" s="84">
        <v>-557974</v>
      </c>
      <c r="L43" s="114">
        <f>J43</f>
        <v>-557974</v>
      </c>
    </row>
    <row r="44" spans="4:12" ht="16.5" customHeight="1">
      <c r="D44" s="90"/>
      <c r="E44" s="90"/>
      <c r="F44" s="90"/>
      <c r="G44" s="90"/>
      <c r="H44" s="90"/>
      <c r="I44" s="90"/>
      <c r="J44" s="90"/>
      <c r="K44" s="90"/>
      <c r="L44" s="90"/>
    </row>
    <row r="45" spans="1:13" ht="16.5" customHeight="1">
      <c r="A45" s="84" t="s">
        <v>268</v>
      </c>
      <c r="D45" s="84">
        <f>D35+D41+D42+D43</f>
        <v>1859914</v>
      </c>
      <c r="F45" s="84">
        <f>F35+F41+F42+F43</f>
        <v>460882</v>
      </c>
      <c r="H45" s="84">
        <f>H35+H41+H42+H43</f>
        <v>101441</v>
      </c>
      <c r="J45" s="84">
        <f>J35+J41+J42+J43</f>
        <v>8204682</v>
      </c>
      <c r="L45" s="84">
        <f>L35+L41+L42+L43</f>
        <v>10626919</v>
      </c>
      <c r="M45" s="91"/>
    </row>
    <row r="46" spans="4:12" ht="8.25" customHeight="1">
      <c r="D46" s="90"/>
      <c r="E46" s="90"/>
      <c r="F46" s="90"/>
      <c r="G46" s="90"/>
      <c r="H46" s="90"/>
      <c r="I46" s="90"/>
      <c r="J46" s="90"/>
      <c r="K46" s="90"/>
      <c r="L46" s="90"/>
    </row>
    <row r="47" spans="4:12" ht="16.5" customHeight="1">
      <c r="D47" s="88"/>
      <c r="E47" s="88"/>
      <c r="F47" s="88"/>
      <c r="G47" s="88"/>
      <c r="H47" s="88"/>
      <c r="I47" s="88"/>
      <c r="J47" s="88"/>
      <c r="K47" s="88"/>
      <c r="L47" s="88"/>
    </row>
    <row r="48" spans="4:12" ht="16.5" customHeight="1">
      <c r="D48" s="88"/>
      <c r="E48" s="88"/>
      <c r="F48" s="88"/>
      <c r="G48" s="88"/>
      <c r="H48" s="88"/>
      <c r="I48" s="88"/>
      <c r="J48" s="88"/>
      <c r="K48" s="88"/>
      <c r="L48" s="88"/>
    </row>
    <row r="49" ht="16.5" customHeight="1">
      <c r="A49" s="84" t="s">
        <v>141</v>
      </c>
    </row>
  </sheetData>
  <sheetProtection password="C724" sheet="1" objects="1" scenarios="1"/>
  <mergeCells count="1">
    <mergeCell ref="F12:H12"/>
  </mergeCells>
  <printOptions/>
  <pageMargins left="0.61" right="0.48" top="1" bottom="1.15" header="0.5" footer="0.7"/>
  <pageSetup horizontalDpi="600" verticalDpi="600" orientation="portrait" paperSize="9" scale="70" r:id="rId2"/>
  <headerFooter alignWithMargins="0">
    <oddFooter>&amp;C&amp;11(The Condensed Consolidated  Statement of Changes in Equity should be read in conjunction with the Annual Financial Statements 
for the year ended 31 March 2004)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62"/>
  <sheetViews>
    <sheetView view="pageBreakPreview" zoomScale="75" zoomScaleNormal="75" zoomScaleSheetLayoutView="75" workbookViewId="0" topLeftCell="A4">
      <selection activeCell="I239" sqref="I239"/>
    </sheetView>
  </sheetViews>
  <sheetFormatPr defaultColWidth="9.140625" defaultRowHeight="12.75"/>
  <cols>
    <col min="1" max="1" width="6.421875" style="4" customWidth="1"/>
    <col min="2" max="2" width="3.28125" style="4" customWidth="1"/>
    <col min="3" max="3" width="6.28125" style="4" customWidth="1"/>
    <col min="4" max="4" width="5.140625" style="4" customWidth="1"/>
    <col min="5" max="5" width="3.00390625" style="4" customWidth="1"/>
    <col min="6" max="6" width="19.421875" style="4" customWidth="1"/>
    <col min="7" max="7" width="13.8515625" style="4" customWidth="1"/>
    <col min="8" max="8" width="2.140625" style="4" customWidth="1"/>
    <col min="9" max="9" width="15.28125" style="4" customWidth="1"/>
    <col min="10" max="10" width="2.140625" style="4" customWidth="1"/>
    <col min="11" max="11" width="16.57421875" style="4" bestFit="1" customWidth="1"/>
    <col min="12" max="12" width="2.28125" style="4" customWidth="1"/>
    <col min="13" max="13" width="15.00390625" style="4" customWidth="1"/>
    <col min="14" max="14" width="3.00390625" style="4" customWidth="1"/>
    <col min="15" max="15" width="16.28125" style="4" customWidth="1"/>
    <col min="16" max="16" width="7.8515625" style="4" customWidth="1"/>
    <col min="17" max="17" width="4.57421875" style="4" customWidth="1"/>
    <col min="18" max="18" width="11.7109375" style="4" customWidth="1"/>
    <col min="19" max="19" width="6.28125" style="4" customWidth="1"/>
    <col min="20" max="16384" width="7.8515625" style="4" customWidth="1"/>
  </cols>
  <sheetData>
    <row r="2" spans="1:2" ht="15.75">
      <c r="A2" s="27" t="s">
        <v>153</v>
      </c>
      <c r="B2" s="26"/>
    </row>
    <row r="3" spans="1:2" ht="15">
      <c r="A3" s="52" t="s">
        <v>154</v>
      </c>
      <c r="B3" s="26"/>
    </row>
    <row r="4" spans="1:2" ht="15">
      <c r="A4" s="26"/>
      <c r="B4" s="26"/>
    </row>
    <row r="6" ht="15.75">
      <c r="O6" s="17" t="s">
        <v>165</v>
      </c>
    </row>
    <row r="7" spans="1:9" ht="15.75">
      <c r="A7" s="5" t="s">
        <v>166</v>
      </c>
      <c r="F7" s="92"/>
      <c r="G7" s="93"/>
      <c r="H7" s="93"/>
      <c r="I7" s="93"/>
    </row>
    <row r="8" ht="15">
      <c r="A8" s="4" t="s">
        <v>239</v>
      </c>
    </row>
    <row r="9" spans="1:5" ht="15.75">
      <c r="A9" s="25" t="s">
        <v>167</v>
      </c>
      <c r="B9" s="4" t="s">
        <v>52</v>
      </c>
      <c r="C9" s="5"/>
      <c r="D9" s="5"/>
      <c r="E9" s="5"/>
    </row>
    <row r="10" ht="15">
      <c r="B10" s="4" t="s">
        <v>168</v>
      </c>
    </row>
    <row r="11" ht="15">
      <c r="B11" s="4" t="s">
        <v>225</v>
      </c>
    </row>
    <row r="12" ht="15">
      <c r="B12" s="4" t="s">
        <v>263</v>
      </c>
    </row>
    <row r="14" ht="15">
      <c r="B14" s="4" t="s">
        <v>305</v>
      </c>
    </row>
    <row r="15" ht="15">
      <c r="B15" s="4" t="s">
        <v>306</v>
      </c>
    </row>
    <row r="16" ht="15">
      <c r="B16" s="4" t="s">
        <v>307</v>
      </c>
    </row>
    <row r="19" spans="1:2" ht="15">
      <c r="A19" s="4" t="s">
        <v>169</v>
      </c>
      <c r="B19" s="4" t="s">
        <v>120</v>
      </c>
    </row>
    <row r="20" ht="15">
      <c r="B20" s="4" t="s">
        <v>308</v>
      </c>
    </row>
    <row r="21" ht="15">
      <c r="B21" s="4" t="s">
        <v>309</v>
      </c>
    </row>
    <row r="24" spans="1:2" ht="15">
      <c r="A24" s="4" t="s">
        <v>170</v>
      </c>
      <c r="B24" s="4" t="s">
        <v>69</v>
      </c>
    </row>
    <row r="25" ht="15">
      <c r="B25" s="4" t="s">
        <v>234</v>
      </c>
    </row>
    <row r="26" ht="15">
      <c r="B26" s="4" t="s">
        <v>171</v>
      </c>
    </row>
    <row r="29" spans="1:6" ht="15.75">
      <c r="A29" s="4" t="s">
        <v>172</v>
      </c>
      <c r="B29" s="4" t="s">
        <v>53</v>
      </c>
      <c r="C29" s="5"/>
      <c r="D29" s="5"/>
      <c r="E29" s="5"/>
      <c r="F29" s="5"/>
    </row>
    <row r="30" spans="2:6" ht="15.75">
      <c r="B30" s="4" t="s">
        <v>297</v>
      </c>
      <c r="C30" s="5"/>
      <c r="D30" s="5"/>
      <c r="E30" s="5"/>
      <c r="F30" s="5"/>
    </row>
    <row r="31" spans="2:6" ht="15.75">
      <c r="B31" s="4" t="s">
        <v>298</v>
      </c>
      <c r="C31" s="5"/>
      <c r="D31" s="5"/>
      <c r="E31" s="5"/>
      <c r="F31" s="5"/>
    </row>
    <row r="32" spans="3:6" ht="15.75">
      <c r="C32" s="5"/>
      <c r="D32" s="5"/>
      <c r="E32" s="5"/>
      <c r="F32" s="5"/>
    </row>
    <row r="34" spans="1:2" ht="15">
      <c r="A34" s="4" t="s">
        <v>173</v>
      </c>
      <c r="B34" s="4" t="s">
        <v>108</v>
      </c>
    </row>
    <row r="35" ht="15">
      <c r="B35" s="4" t="s">
        <v>241</v>
      </c>
    </row>
    <row r="36" ht="15">
      <c r="B36" s="4" t="s">
        <v>310</v>
      </c>
    </row>
    <row r="37" spans="2:6" ht="15.75">
      <c r="B37" s="4" t="s">
        <v>311</v>
      </c>
      <c r="F37" s="149"/>
    </row>
    <row r="40" spans="1:2" ht="15">
      <c r="A40" s="4" t="s">
        <v>174</v>
      </c>
      <c r="B40" s="4" t="s">
        <v>70</v>
      </c>
    </row>
    <row r="41" spans="1:2" ht="15">
      <c r="A41" s="4" t="s">
        <v>62</v>
      </c>
      <c r="B41" s="4" t="s">
        <v>270</v>
      </c>
    </row>
    <row r="42" ht="15">
      <c r="B42" s="4" t="s">
        <v>252</v>
      </c>
    </row>
    <row r="44" ht="15">
      <c r="B44" s="4" t="s">
        <v>251</v>
      </c>
    </row>
    <row r="45" ht="15">
      <c r="B45" s="4" t="s">
        <v>249</v>
      </c>
    </row>
    <row r="46" ht="15">
      <c r="B46" s="4" t="s">
        <v>250</v>
      </c>
    </row>
    <row r="48" ht="15">
      <c r="B48" s="4" t="s">
        <v>247</v>
      </c>
    </row>
    <row r="49" ht="15">
      <c r="B49" s="4" t="s">
        <v>211</v>
      </c>
    </row>
    <row r="50" ht="15">
      <c r="B50" s="4" t="s">
        <v>212</v>
      </c>
    </row>
    <row r="53" spans="1:2" ht="15">
      <c r="A53" s="4" t="s">
        <v>175</v>
      </c>
      <c r="B53" s="4" t="s">
        <v>89</v>
      </c>
    </row>
    <row r="54" spans="2:7" ht="15.75">
      <c r="B54" s="4" t="s">
        <v>292</v>
      </c>
      <c r="G54" s="5"/>
    </row>
    <row r="55" spans="2:7" ht="15.75">
      <c r="B55" s="4" t="s">
        <v>293</v>
      </c>
      <c r="G55" s="5"/>
    </row>
    <row r="56" spans="2:7" ht="15.75">
      <c r="B56" s="4" t="s">
        <v>283</v>
      </c>
      <c r="G56" s="5"/>
    </row>
    <row r="57" ht="15.75">
      <c r="G57" s="5"/>
    </row>
    <row r="58" spans="2:7" ht="15.75">
      <c r="B58" s="4" t="s">
        <v>278</v>
      </c>
      <c r="G58" s="5"/>
    </row>
    <row r="59" spans="2:7" ht="15.75">
      <c r="B59" s="4" t="s">
        <v>282</v>
      </c>
      <c r="G59" s="5"/>
    </row>
    <row r="60" ht="15.75">
      <c r="G60" s="5"/>
    </row>
    <row r="61" ht="15.75">
      <c r="G61" s="5"/>
    </row>
    <row r="62" spans="1:17" ht="15.75">
      <c r="A62" s="4" t="s">
        <v>176</v>
      </c>
      <c r="B62" s="4" t="s">
        <v>82</v>
      </c>
      <c r="G62" s="5"/>
      <c r="Q62" s="5"/>
    </row>
    <row r="63" ht="15">
      <c r="B63" s="4" t="s">
        <v>245</v>
      </c>
    </row>
    <row r="64" spans="6:18" ht="15">
      <c r="F64" s="8"/>
      <c r="J64" s="8"/>
      <c r="L64" s="8"/>
      <c r="M64" s="8"/>
      <c r="N64" s="8"/>
      <c r="P64" s="12"/>
      <c r="Q64" s="12"/>
      <c r="R64" s="8"/>
    </row>
    <row r="65" spans="6:18" ht="15">
      <c r="F65" s="8"/>
      <c r="G65" s="8" t="s">
        <v>240</v>
      </c>
      <c r="I65" s="8" t="s">
        <v>97</v>
      </c>
      <c r="K65" s="8" t="s">
        <v>122</v>
      </c>
      <c r="L65" s="8"/>
      <c r="N65" s="8"/>
      <c r="O65" s="8"/>
      <c r="P65" s="12"/>
      <c r="Q65" s="12"/>
      <c r="R65" s="8"/>
    </row>
    <row r="66" spans="6:18" ht="15">
      <c r="F66" s="8"/>
      <c r="G66" s="8" t="s">
        <v>112</v>
      </c>
      <c r="I66" s="8" t="s">
        <v>112</v>
      </c>
      <c r="K66" s="8" t="s">
        <v>142</v>
      </c>
      <c r="L66" s="8"/>
      <c r="M66" s="8" t="s">
        <v>83</v>
      </c>
      <c r="N66" s="8"/>
      <c r="O66" s="8" t="s">
        <v>84</v>
      </c>
      <c r="P66" s="12"/>
      <c r="Q66" s="12"/>
      <c r="R66" s="8"/>
    </row>
    <row r="67" spans="6:18" ht="15">
      <c r="F67" s="8"/>
      <c r="L67" s="8"/>
      <c r="N67" s="8"/>
      <c r="P67" s="12"/>
      <c r="Q67" s="12"/>
      <c r="R67" s="8"/>
    </row>
    <row r="68" spans="6:18" ht="15">
      <c r="F68" s="8"/>
      <c r="G68" s="8" t="s">
        <v>14</v>
      </c>
      <c r="I68" s="8" t="s">
        <v>14</v>
      </c>
      <c r="K68" s="8" t="s">
        <v>14</v>
      </c>
      <c r="L68" s="8"/>
      <c r="M68" s="8" t="s">
        <v>14</v>
      </c>
      <c r="N68" s="8"/>
      <c r="O68" s="8" t="s">
        <v>14</v>
      </c>
      <c r="P68" s="12"/>
      <c r="Q68" s="12"/>
      <c r="R68" s="8"/>
    </row>
    <row r="69" spans="6:18" ht="15">
      <c r="F69" s="8"/>
      <c r="L69" s="8"/>
      <c r="N69" s="8"/>
      <c r="P69" s="12"/>
      <c r="Q69" s="12"/>
      <c r="R69" s="8"/>
    </row>
    <row r="70" spans="2:18" ht="15">
      <c r="B70" s="4" t="s">
        <v>138</v>
      </c>
      <c r="F70" s="8"/>
      <c r="L70" s="8"/>
      <c r="N70" s="8"/>
      <c r="P70" s="12"/>
      <c r="Q70" s="12"/>
      <c r="R70" s="8"/>
    </row>
    <row r="71" spans="2:18" ht="15">
      <c r="B71" s="4" t="s">
        <v>47</v>
      </c>
      <c r="F71" s="8"/>
      <c r="L71" s="8"/>
      <c r="N71" s="8"/>
      <c r="P71" s="12"/>
      <c r="Q71" s="12"/>
      <c r="R71" s="8"/>
    </row>
    <row r="72" spans="3:18" ht="15">
      <c r="C72" s="4" t="s">
        <v>109</v>
      </c>
      <c r="F72" s="8"/>
      <c r="G72" s="129">
        <v>4245497</v>
      </c>
      <c r="I72" s="22">
        <v>769450</v>
      </c>
      <c r="J72" s="20"/>
      <c r="K72" s="22">
        <v>2229561</v>
      </c>
      <c r="L72" s="21"/>
      <c r="M72" s="131">
        <v>570695</v>
      </c>
      <c r="N72" s="21"/>
      <c r="O72" s="22">
        <f>SUM(G72:M72)</f>
        <v>7815203</v>
      </c>
      <c r="P72" s="12"/>
      <c r="Q72" s="12"/>
      <c r="R72" s="8"/>
    </row>
    <row r="73" spans="2:18" ht="15">
      <c r="B73" s="4" t="s">
        <v>110</v>
      </c>
      <c r="F73" s="8"/>
      <c r="G73" s="24">
        <f>SUM(G72)</f>
        <v>4245497</v>
      </c>
      <c r="I73" s="24">
        <f>SUM(I72)</f>
        <v>769450</v>
      </c>
      <c r="J73" s="23"/>
      <c r="K73" s="24">
        <f>SUM(K72)</f>
        <v>2229561</v>
      </c>
      <c r="L73" s="132"/>
      <c r="M73" s="24">
        <f>SUM(M72)</f>
        <v>570695</v>
      </c>
      <c r="N73" s="133"/>
      <c r="O73" s="24">
        <f>SUM(O72)</f>
        <v>7815203</v>
      </c>
      <c r="P73" s="12"/>
      <c r="Q73" s="12"/>
      <c r="R73" s="8"/>
    </row>
    <row r="74" spans="6:18" ht="15">
      <c r="F74" s="8"/>
      <c r="G74" s="24"/>
      <c r="I74" s="20"/>
      <c r="J74" s="20"/>
      <c r="K74" s="114"/>
      <c r="L74" s="133"/>
      <c r="M74" s="114"/>
      <c r="N74" s="133"/>
      <c r="O74" s="20"/>
      <c r="P74" s="12"/>
      <c r="Q74" s="12"/>
      <c r="R74" s="8"/>
    </row>
    <row r="75" spans="2:18" ht="15">
      <c r="B75" s="4" t="s">
        <v>111</v>
      </c>
      <c r="F75" s="8"/>
      <c r="G75" s="24"/>
      <c r="I75" s="20"/>
      <c r="J75" s="20"/>
      <c r="K75" s="114"/>
      <c r="L75" s="133"/>
      <c r="M75" s="114"/>
      <c r="N75" s="133"/>
      <c r="O75" s="20"/>
      <c r="P75" s="12"/>
      <c r="Q75" s="12"/>
      <c r="R75" s="8"/>
    </row>
    <row r="76" spans="3:18" ht="15.75" thickBot="1">
      <c r="C76" s="4" t="s">
        <v>139</v>
      </c>
      <c r="F76" s="8"/>
      <c r="G76" s="136">
        <v>2162019</v>
      </c>
      <c r="I76" s="134">
        <v>621319</v>
      </c>
      <c r="J76" s="20"/>
      <c r="K76" s="135">
        <v>233865</v>
      </c>
      <c r="L76" s="133"/>
      <c r="M76" s="135">
        <v>-196796</v>
      </c>
      <c r="N76" s="133"/>
      <c r="O76" s="134">
        <f>SUM(G76:M76)</f>
        <v>2820407</v>
      </c>
      <c r="P76" s="12"/>
      <c r="Q76" s="12"/>
      <c r="R76" s="8"/>
    </row>
    <row r="77" spans="6:18" ht="16.5" thickTop="1">
      <c r="F77" s="8"/>
      <c r="G77" s="20"/>
      <c r="H77" s="20"/>
      <c r="I77" s="20"/>
      <c r="J77" s="21"/>
      <c r="K77" s="20"/>
      <c r="L77" s="21"/>
      <c r="M77" s="21"/>
      <c r="N77" s="21"/>
      <c r="O77" s="17" t="s">
        <v>177</v>
      </c>
      <c r="P77" s="12"/>
      <c r="Q77" s="12"/>
      <c r="R77" s="8"/>
    </row>
    <row r="78" spans="6:18" ht="15.75">
      <c r="F78" s="8"/>
      <c r="G78" s="20"/>
      <c r="H78" s="20"/>
      <c r="I78" s="20"/>
      <c r="J78" s="21"/>
      <c r="K78" s="20"/>
      <c r="L78" s="21"/>
      <c r="M78" s="21"/>
      <c r="N78" s="21"/>
      <c r="O78" s="17"/>
      <c r="P78" s="12"/>
      <c r="Q78" s="12"/>
      <c r="R78" s="8"/>
    </row>
    <row r="79" spans="1:17" ht="15.75">
      <c r="A79" s="4" t="s">
        <v>178</v>
      </c>
      <c r="B79" s="4" t="s">
        <v>179</v>
      </c>
      <c r="Q79" s="5"/>
    </row>
    <row r="80" spans="2:17" ht="15.75">
      <c r="B80" s="4" t="s">
        <v>226</v>
      </c>
      <c r="Q80" s="5"/>
    </row>
    <row r="81" spans="2:17" ht="15.75">
      <c r="B81" s="4" t="s">
        <v>235</v>
      </c>
      <c r="Q81" s="5"/>
    </row>
    <row r="84" spans="1:3" ht="15.75">
      <c r="A84" s="4" t="s">
        <v>180</v>
      </c>
      <c r="B84" s="4" t="s">
        <v>181</v>
      </c>
      <c r="C84" s="5"/>
    </row>
    <row r="85" spans="2:3" ht="15.75">
      <c r="B85" s="4" t="s">
        <v>300</v>
      </c>
      <c r="C85" s="5"/>
    </row>
    <row r="86" spans="2:6" ht="15.75">
      <c r="B86" s="4" t="s">
        <v>301</v>
      </c>
      <c r="C86" s="5"/>
      <c r="F86" s="94"/>
    </row>
    <row r="87" spans="2:6" ht="15.75">
      <c r="B87" s="4" t="s">
        <v>302</v>
      </c>
      <c r="C87" s="5"/>
      <c r="F87" s="94"/>
    </row>
    <row r="88" spans="2:6" ht="15">
      <c r="B88" s="95"/>
      <c r="F88" s="96"/>
    </row>
    <row r="89" spans="2:6" ht="15">
      <c r="B89" s="95"/>
      <c r="F89" s="96"/>
    </row>
    <row r="90" spans="1:2" ht="15">
      <c r="A90" s="4" t="s">
        <v>182</v>
      </c>
      <c r="B90" s="4" t="s">
        <v>67</v>
      </c>
    </row>
    <row r="91" ht="15">
      <c r="B91" s="4" t="s">
        <v>236</v>
      </c>
    </row>
    <row r="94" spans="1:7" ht="15">
      <c r="A94" s="4" t="s">
        <v>183</v>
      </c>
      <c r="B94" s="4" t="s">
        <v>76</v>
      </c>
      <c r="G94" s="12"/>
    </row>
    <row r="95" ht="15">
      <c r="B95" s="4" t="s">
        <v>77</v>
      </c>
    </row>
    <row r="97" ht="15">
      <c r="I97" s="8" t="s">
        <v>14</v>
      </c>
    </row>
    <row r="99" ht="15">
      <c r="B99" s="4" t="s">
        <v>78</v>
      </c>
    </row>
    <row r="100" spans="2:9" ht="15">
      <c r="B100" s="4" t="s">
        <v>79</v>
      </c>
      <c r="I100" s="14"/>
    </row>
    <row r="101" spans="2:9" ht="15">
      <c r="B101" s="4" t="s">
        <v>230</v>
      </c>
      <c r="I101" s="15">
        <f>2979.4+33364.6</f>
        <v>36344</v>
      </c>
    </row>
    <row r="102" ht="15">
      <c r="G102" s="15"/>
    </row>
    <row r="103" ht="15">
      <c r="G103" s="15"/>
    </row>
    <row r="104" spans="1:13" ht="15.75">
      <c r="A104" s="4" t="s">
        <v>184</v>
      </c>
      <c r="B104" s="4" t="s">
        <v>86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ht="15.75">
      <c r="B105" s="4" t="s">
        <v>295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.75">
      <c r="A106" s="5"/>
      <c r="B106" s="4" t="s">
        <v>296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.75">
      <c r="A107" s="5"/>
      <c r="B107" s="4" t="s">
        <v>299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.75">
      <c r="A108" s="5"/>
      <c r="B108" s="4" t="s">
        <v>303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ht="15">
      <c r="B109" s="4" t="s">
        <v>304</v>
      </c>
    </row>
    <row r="111" ht="15">
      <c r="B111" s="26"/>
    </row>
    <row r="112" spans="1:13" ht="15.75">
      <c r="A112" s="4" t="s">
        <v>185</v>
      </c>
      <c r="B112" s="4" t="s">
        <v>85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5.75">
      <c r="B113" s="4" t="s">
        <v>289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5.75">
      <c r="B114" s="4" t="s">
        <v>294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5.75">
      <c r="B115" s="4" t="s">
        <v>290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3:13" ht="15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8" spans="1:9" ht="15.75">
      <c r="A118" s="4" t="s">
        <v>186</v>
      </c>
      <c r="B118" s="4" t="s">
        <v>87</v>
      </c>
      <c r="I118" s="5"/>
    </row>
    <row r="119" spans="2:9" ht="15.75">
      <c r="B119" s="4" t="s">
        <v>242</v>
      </c>
      <c r="I119" s="5"/>
    </row>
    <row r="120" spans="2:9" ht="15.75">
      <c r="B120" s="4" t="s">
        <v>243</v>
      </c>
      <c r="I120" s="5"/>
    </row>
    <row r="121" spans="2:9" ht="15.75">
      <c r="B121" s="4" t="s">
        <v>244</v>
      </c>
      <c r="I121" s="5"/>
    </row>
    <row r="122" spans="1:15" ht="15.75" hidden="1">
      <c r="A122" s="4" t="s">
        <v>107</v>
      </c>
      <c r="B122" s="4" t="s">
        <v>88</v>
      </c>
      <c r="L122" s="5"/>
      <c r="M122" s="5"/>
      <c r="N122" s="5"/>
      <c r="O122" s="5"/>
    </row>
    <row r="123" ht="15" hidden="1">
      <c r="B123" s="4" t="s">
        <v>121</v>
      </c>
    </row>
    <row r="124" ht="15" hidden="1"/>
    <row r="125" ht="15" hidden="1"/>
    <row r="126" ht="15">
      <c r="B126" s="4" t="s">
        <v>312</v>
      </c>
    </row>
    <row r="127" ht="15">
      <c r="B127" s="4" t="s">
        <v>313</v>
      </c>
    </row>
    <row r="130" spans="1:2" ht="15">
      <c r="A130" s="4" t="s">
        <v>187</v>
      </c>
      <c r="B130" s="4" t="s">
        <v>143</v>
      </c>
    </row>
    <row r="131" ht="15">
      <c r="B131" s="4" t="s">
        <v>188</v>
      </c>
    </row>
    <row r="134" spans="1:2" ht="15">
      <c r="A134" s="4" t="s">
        <v>190</v>
      </c>
      <c r="B134" s="6" t="s">
        <v>54</v>
      </c>
    </row>
    <row r="135" spans="7:11" ht="15">
      <c r="G135" s="8" t="s">
        <v>284</v>
      </c>
      <c r="H135" s="7"/>
      <c r="I135" s="8" t="s">
        <v>276</v>
      </c>
      <c r="J135" s="7"/>
      <c r="K135" s="7"/>
    </row>
    <row r="136" spans="7:11" ht="15">
      <c r="G136" s="8" t="s">
        <v>14</v>
      </c>
      <c r="H136" s="8"/>
      <c r="I136" s="8" t="s">
        <v>14</v>
      </c>
      <c r="J136" s="8"/>
      <c r="K136" s="8"/>
    </row>
    <row r="137" ht="15">
      <c r="K137" s="6"/>
    </row>
    <row r="138" spans="2:11" ht="15">
      <c r="B138" s="6" t="s">
        <v>232</v>
      </c>
      <c r="D138" s="6"/>
      <c r="E138" s="6"/>
      <c r="F138" s="6"/>
      <c r="G138" s="9"/>
      <c r="H138" s="9"/>
      <c r="I138" s="9"/>
      <c r="J138" s="10"/>
      <c r="K138" s="6"/>
    </row>
    <row r="139" spans="2:11" ht="15">
      <c r="B139" s="6" t="s">
        <v>233</v>
      </c>
      <c r="D139" s="6"/>
      <c r="E139" s="6"/>
      <c r="F139" s="6"/>
      <c r="G139" s="9"/>
      <c r="H139" s="9"/>
      <c r="I139" s="9"/>
      <c r="J139" s="10"/>
      <c r="K139" s="6"/>
    </row>
    <row r="140" spans="2:11" ht="15">
      <c r="B140" s="6"/>
      <c r="C140" s="6"/>
      <c r="D140" s="6"/>
      <c r="E140" s="6"/>
      <c r="F140" s="6"/>
      <c r="G140" s="9"/>
      <c r="H140" s="9"/>
      <c r="I140" s="9"/>
      <c r="J140" s="10"/>
      <c r="K140" s="6"/>
    </row>
    <row r="141" spans="2:11" ht="15">
      <c r="B141" s="6" t="s">
        <v>55</v>
      </c>
      <c r="D141" s="6"/>
      <c r="E141" s="6"/>
      <c r="F141" s="6"/>
      <c r="G141" s="9"/>
      <c r="H141" s="9"/>
      <c r="I141" s="9"/>
      <c r="J141" s="10"/>
      <c r="K141" s="6"/>
    </row>
    <row r="142" spans="2:15" ht="15">
      <c r="B142" s="6"/>
      <c r="C142" s="142" t="s">
        <v>56</v>
      </c>
      <c r="D142" s="6"/>
      <c r="E142" s="6"/>
      <c r="F142" s="6"/>
      <c r="G142" s="89">
        <f>I142-14929</f>
        <v>3627</v>
      </c>
      <c r="H142" s="146"/>
      <c r="I142" s="89">
        <v>18556</v>
      </c>
      <c r="J142" s="10"/>
      <c r="K142" s="91"/>
      <c r="M142" s="24"/>
      <c r="O142" s="89"/>
    </row>
    <row r="143" spans="2:15" ht="15">
      <c r="B143" s="6"/>
      <c r="C143" s="142" t="s">
        <v>57</v>
      </c>
      <c r="D143" s="6"/>
      <c r="E143" s="6"/>
      <c r="F143" s="6"/>
      <c r="G143" s="146">
        <f>I143--2469</f>
        <v>776</v>
      </c>
      <c r="H143" s="146"/>
      <c r="I143" s="146">
        <v>-1693</v>
      </c>
      <c r="J143" s="10"/>
      <c r="K143" s="91"/>
      <c r="M143" s="24"/>
      <c r="O143" s="146"/>
    </row>
    <row r="144" spans="2:15" ht="15">
      <c r="B144" s="6"/>
      <c r="C144" s="6"/>
      <c r="D144" s="6"/>
      <c r="E144" s="6"/>
      <c r="F144" s="6"/>
      <c r="G144" s="146"/>
      <c r="H144" s="146"/>
      <c r="I144" s="146"/>
      <c r="J144" s="10"/>
      <c r="K144" s="91"/>
      <c r="M144" s="24"/>
      <c r="O144" s="146"/>
    </row>
    <row r="145" spans="2:15" ht="15">
      <c r="B145" s="6" t="s">
        <v>58</v>
      </c>
      <c r="C145" s="6"/>
      <c r="D145" s="6"/>
      <c r="E145" s="6"/>
      <c r="F145" s="6"/>
      <c r="G145" s="89">
        <f>I145-68</f>
        <v>1563</v>
      </c>
      <c r="H145" s="146"/>
      <c r="I145" s="89">
        <v>1631</v>
      </c>
      <c r="J145" s="10"/>
      <c r="K145" s="91"/>
      <c r="M145" s="24"/>
      <c r="O145" s="89"/>
    </row>
    <row r="146" spans="2:11" ht="15">
      <c r="B146" s="6"/>
      <c r="C146" s="6"/>
      <c r="D146" s="6"/>
      <c r="E146" s="6"/>
      <c r="F146" s="6"/>
      <c r="G146" s="146"/>
      <c r="H146" s="146"/>
      <c r="I146" s="146"/>
      <c r="J146" s="10"/>
      <c r="K146" s="6"/>
    </row>
    <row r="147" spans="2:11" ht="15.75" thickBot="1">
      <c r="B147" s="6"/>
      <c r="C147" s="6"/>
      <c r="D147" s="143"/>
      <c r="E147" s="6"/>
      <c r="F147" s="6"/>
      <c r="G147" s="147">
        <f>SUM(G142:G145)</f>
        <v>5966</v>
      </c>
      <c r="H147" s="146"/>
      <c r="I147" s="147">
        <f>SUM(I142:I145)</f>
        <v>18494</v>
      </c>
      <c r="J147" s="9"/>
      <c r="K147" s="11"/>
    </row>
    <row r="148" spans="2:10" ht="15.75" thickTop="1">
      <c r="B148" s="6"/>
      <c r="C148" s="6"/>
      <c r="D148" s="6"/>
      <c r="E148" s="6"/>
      <c r="F148" s="6"/>
      <c r="G148" s="9"/>
      <c r="H148" s="9"/>
      <c r="I148" s="9"/>
      <c r="J148" s="10"/>
    </row>
    <row r="149" spans="2:10" ht="15">
      <c r="B149" s="4" t="s">
        <v>227</v>
      </c>
      <c r="G149" s="10"/>
      <c r="H149" s="10"/>
      <c r="I149" s="10"/>
      <c r="J149" s="10"/>
    </row>
    <row r="150" spans="2:10" ht="15">
      <c r="B150" s="4" t="s">
        <v>228</v>
      </c>
      <c r="G150" s="10"/>
      <c r="H150" s="10"/>
      <c r="I150" s="10"/>
      <c r="J150" s="10"/>
    </row>
    <row r="151" spans="2:10" ht="15">
      <c r="B151" s="4" t="s">
        <v>229</v>
      </c>
      <c r="G151" s="10"/>
      <c r="H151" s="10"/>
      <c r="I151" s="10"/>
      <c r="J151" s="10"/>
    </row>
    <row r="152" spans="7:10" ht="15">
      <c r="G152" s="10"/>
      <c r="H152" s="10"/>
      <c r="I152" s="10"/>
      <c r="J152" s="10"/>
    </row>
    <row r="153" spans="7:15" ht="15.75">
      <c r="G153" s="10"/>
      <c r="H153" s="10"/>
      <c r="I153" s="10"/>
      <c r="J153" s="10"/>
      <c r="O153" s="17" t="s">
        <v>189</v>
      </c>
    </row>
    <row r="154" spans="7:10" ht="15">
      <c r="G154" s="10"/>
      <c r="H154" s="10"/>
      <c r="I154" s="10"/>
      <c r="J154" s="10"/>
    </row>
    <row r="155" spans="1:11" ht="15">
      <c r="A155" s="4" t="s">
        <v>191</v>
      </c>
      <c r="B155" s="4" t="s">
        <v>59</v>
      </c>
      <c r="K155" s="12"/>
    </row>
    <row r="156" ht="15">
      <c r="B156" s="4" t="s">
        <v>60</v>
      </c>
    </row>
    <row r="158" ht="15.75">
      <c r="O158" s="17"/>
    </row>
    <row r="159" spans="1:11" ht="15">
      <c r="A159" s="4" t="s">
        <v>192</v>
      </c>
      <c r="B159" s="4" t="s">
        <v>61</v>
      </c>
      <c r="K159" s="12"/>
    </row>
    <row r="160" spans="1:3" ht="15">
      <c r="A160" s="4" t="s">
        <v>62</v>
      </c>
      <c r="B160" s="4" t="s">
        <v>193</v>
      </c>
      <c r="C160" s="4" t="s">
        <v>280</v>
      </c>
    </row>
    <row r="161" ht="15">
      <c r="C161" s="4" t="s">
        <v>281</v>
      </c>
    </row>
    <row r="163" ht="15">
      <c r="C163" s="4" t="s">
        <v>253</v>
      </c>
    </row>
    <row r="164" ht="15">
      <c r="C164" s="4" t="s">
        <v>254</v>
      </c>
    </row>
    <row r="166" spans="2:3" ht="15">
      <c r="B166" s="4" t="s">
        <v>194</v>
      </c>
      <c r="C166" s="4" t="s">
        <v>279</v>
      </c>
    </row>
    <row r="168" spans="3:10" ht="15.75">
      <c r="C168" s="4" t="s">
        <v>46</v>
      </c>
      <c r="H168" s="17"/>
      <c r="I168" s="7" t="s">
        <v>14</v>
      </c>
      <c r="J168" s="5"/>
    </row>
    <row r="169" spans="3:11" ht="15">
      <c r="C169" s="4" t="s">
        <v>63</v>
      </c>
      <c r="H169" s="13"/>
      <c r="I169" s="18">
        <v>8269</v>
      </c>
      <c r="J169" s="18"/>
      <c r="K169" s="18"/>
    </row>
    <row r="170" spans="3:13" ht="15">
      <c r="C170" s="4" t="s">
        <v>64</v>
      </c>
      <c r="H170" s="13"/>
      <c r="I170" s="18">
        <v>3897</v>
      </c>
      <c r="J170" s="13"/>
      <c r="M170" s="97"/>
    </row>
    <row r="171" spans="3:13" ht="15">
      <c r="C171" s="4" t="s">
        <v>65</v>
      </c>
      <c r="H171" s="13"/>
      <c r="I171" s="18">
        <v>3987</v>
      </c>
      <c r="J171" s="13"/>
      <c r="M171" s="24"/>
    </row>
    <row r="172" spans="8:15" ht="15.75">
      <c r="H172" s="13"/>
      <c r="I172" s="18"/>
      <c r="J172" s="13"/>
      <c r="O172" s="5"/>
    </row>
    <row r="173" spans="3:11" ht="15">
      <c r="C173" s="4" t="s">
        <v>66</v>
      </c>
      <c r="I173" s="7" t="s">
        <v>14</v>
      </c>
      <c r="K173" s="24"/>
    </row>
    <row r="174" spans="3:11" ht="15">
      <c r="C174" s="4" t="s">
        <v>63</v>
      </c>
      <c r="I174" s="18">
        <v>192814</v>
      </c>
      <c r="K174" s="98"/>
    </row>
    <row r="175" spans="3:11" ht="15">
      <c r="C175" s="4" t="s">
        <v>64</v>
      </c>
      <c r="I175" s="18">
        <v>192814</v>
      </c>
      <c r="K175" s="24"/>
    </row>
    <row r="176" spans="3:11" ht="15">
      <c r="C176" s="4" t="s">
        <v>65</v>
      </c>
      <c r="I176" s="18">
        <v>240678</v>
      </c>
      <c r="K176" s="24"/>
    </row>
    <row r="177" ht="15">
      <c r="I177" s="18"/>
    </row>
    <row r="178" ht="15">
      <c r="I178" s="18"/>
    </row>
    <row r="179" spans="1:2" ht="15">
      <c r="A179" s="4" t="s">
        <v>195</v>
      </c>
      <c r="B179" s="4" t="s">
        <v>68</v>
      </c>
    </row>
    <row r="180" ht="15">
      <c r="B180" s="4" t="s">
        <v>275</v>
      </c>
    </row>
    <row r="181" ht="15.75">
      <c r="Q181" s="5"/>
    </row>
    <row r="182" ht="15.75">
      <c r="Q182" s="5"/>
    </row>
    <row r="183" spans="1:2" ht="15">
      <c r="A183" s="4" t="s">
        <v>196</v>
      </c>
      <c r="B183" s="4" t="s">
        <v>71</v>
      </c>
    </row>
    <row r="184" spans="2:3" ht="15">
      <c r="B184" s="4" t="s">
        <v>193</v>
      </c>
      <c r="C184" s="4" t="s">
        <v>277</v>
      </c>
    </row>
    <row r="185" ht="15">
      <c r="C185" s="4" t="s">
        <v>224</v>
      </c>
    </row>
    <row r="187" ht="15">
      <c r="I187" s="14" t="s">
        <v>14</v>
      </c>
    </row>
    <row r="188" ht="15">
      <c r="C188" s="4" t="s">
        <v>29</v>
      </c>
    </row>
    <row r="189" spans="3:9" ht="15">
      <c r="C189" s="4" t="s">
        <v>72</v>
      </c>
      <c r="I189" s="111">
        <v>1140279</v>
      </c>
    </row>
    <row r="190" spans="3:9" ht="15">
      <c r="C190" s="4" t="s">
        <v>73</v>
      </c>
      <c r="I190" s="111">
        <v>1250901</v>
      </c>
    </row>
    <row r="191" spans="9:11" ht="15">
      <c r="I191" s="112">
        <f>SUM(I189:I190)</f>
        <v>2391180</v>
      </c>
      <c r="K191" s="130"/>
    </row>
    <row r="192" ht="15">
      <c r="I192" s="111"/>
    </row>
    <row r="193" spans="3:9" ht="15">
      <c r="C193" s="4" t="s">
        <v>43</v>
      </c>
      <c r="I193" s="111"/>
    </row>
    <row r="194" spans="3:13" ht="15">
      <c r="C194" s="99" t="s">
        <v>209</v>
      </c>
      <c r="I194" s="111">
        <v>2389065</v>
      </c>
      <c r="K194" s="130"/>
      <c r="M194" s="130"/>
    </row>
    <row r="195" spans="3:13" ht="15">
      <c r="C195" s="99" t="s">
        <v>208</v>
      </c>
      <c r="I195" s="111">
        <v>4478272</v>
      </c>
      <c r="K195" s="24"/>
      <c r="M195" s="148"/>
    </row>
    <row r="196" spans="3:9" ht="15">
      <c r="C196" s="99" t="s">
        <v>207</v>
      </c>
      <c r="I196" s="111">
        <v>22807</v>
      </c>
    </row>
    <row r="197" spans="9:11" ht="15">
      <c r="I197" s="112">
        <f>SUM(I194:I196)</f>
        <v>6890144</v>
      </c>
      <c r="K197" s="130"/>
    </row>
    <row r="198" spans="3:9" ht="15.75" thickBot="1">
      <c r="C198" s="4" t="s">
        <v>74</v>
      </c>
      <c r="I198" s="113">
        <f>+I191+I197</f>
        <v>9281324</v>
      </c>
    </row>
    <row r="199" ht="15.75" thickTop="1"/>
    <row r="200" spans="2:3" ht="15">
      <c r="B200" s="4" t="s">
        <v>194</v>
      </c>
      <c r="C200" s="4" t="s">
        <v>285</v>
      </c>
    </row>
    <row r="202" ht="15">
      <c r="G202" s="14" t="s">
        <v>14</v>
      </c>
    </row>
    <row r="203" ht="15">
      <c r="G203" s="12"/>
    </row>
    <row r="204" spans="3:7" ht="15">
      <c r="C204" s="4" t="s">
        <v>75</v>
      </c>
      <c r="G204" s="111">
        <v>8708504</v>
      </c>
    </row>
    <row r="205" ht="15">
      <c r="G205" s="10"/>
    </row>
    <row r="206" ht="15">
      <c r="G206" s="10"/>
    </row>
    <row r="207" spans="1:11" ht="15.75">
      <c r="A207" s="4" t="s">
        <v>198</v>
      </c>
      <c r="B207" s="4" t="s">
        <v>80</v>
      </c>
      <c r="K207" s="16"/>
    </row>
    <row r="208" ht="15">
      <c r="B208" s="4" t="s">
        <v>214</v>
      </c>
    </row>
    <row r="209" ht="15">
      <c r="B209" s="4" t="s">
        <v>215</v>
      </c>
    </row>
    <row r="210" ht="15">
      <c r="B210" s="4" t="s">
        <v>216</v>
      </c>
    </row>
    <row r="211" ht="15">
      <c r="B211" s="4" t="s">
        <v>231</v>
      </c>
    </row>
    <row r="212" ht="15">
      <c r="B212" s="4" t="s">
        <v>256</v>
      </c>
    </row>
    <row r="213" ht="15">
      <c r="B213" s="4" t="s">
        <v>288</v>
      </c>
    </row>
    <row r="215" ht="15">
      <c r="B215" s="4" t="s">
        <v>217</v>
      </c>
    </row>
    <row r="216" ht="15">
      <c r="B216" s="4" t="s">
        <v>218</v>
      </c>
    </row>
    <row r="218" ht="15">
      <c r="B218" s="4" t="s">
        <v>286</v>
      </c>
    </row>
    <row r="219" ht="15">
      <c r="B219" s="4" t="s">
        <v>287</v>
      </c>
    </row>
    <row r="222" spans="1:2" ht="15">
      <c r="A222" s="4" t="s">
        <v>199</v>
      </c>
      <c r="B222" s="4" t="s">
        <v>105</v>
      </c>
    </row>
    <row r="223" ht="15">
      <c r="B223" s="4" t="s">
        <v>81</v>
      </c>
    </row>
    <row r="224" ht="15.75">
      <c r="O224" s="17" t="s">
        <v>197</v>
      </c>
    </row>
    <row r="225" ht="15.75">
      <c r="O225" s="17"/>
    </row>
    <row r="226" spans="1:2" ht="15">
      <c r="A226" s="4" t="s">
        <v>200</v>
      </c>
      <c r="B226" s="4" t="s">
        <v>89</v>
      </c>
    </row>
    <row r="227" spans="2:6" ht="15">
      <c r="B227" s="4" t="s">
        <v>271</v>
      </c>
      <c r="C227" s="95"/>
      <c r="D227" s="95"/>
      <c r="E227" s="95"/>
      <c r="F227" s="95"/>
    </row>
    <row r="230" spans="1:7" ht="15.75">
      <c r="A230" s="4" t="s">
        <v>201</v>
      </c>
      <c r="B230" s="4" t="s">
        <v>106</v>
      </c>
      <c r="G230" s="5"/>
    </row>
    <row r="231" spans="2:7" ht="15.75">
      <c r="B231" s="4" t="s">
        <v>123</v>
      </c>
      <c r="G231" s="5"/>
    </row>
    <row r="232" ht="15.75">
      <c r="G232" s="5"/>
    </row>
    <row r="233" spans="2:7" ht="15.75">
      <c r="B233" s="4" t="s">
        <v>193</v>
      </c>
      <c r="C233" s="4" t="s">
        <v>272</v>
      </c>
      <c r="G233" s="5"/>
    </row>
    <row r="234" spans="3:7" ht="15.75">
      <c r="C234" s="4" t="s">
        <v>274</v>
      </c>
      <c r="G234" s="5"/>
    </row>
    <row r="235" spans="3:7" ht="15.75">
      <c r="C235" s="4" t="s">
        <v>273</v>
      </c>
      <c r="G235" s="5"/>
    </row>
    <row r="236" spans="3:7" ht="15.75">
      <c r="C236" s="4" t="s">
        <v>255</v>
      </c>
      <c r="G236" s="5"/>
    </row>
    <row r="237" ht="15.75">
      <c r="G237" s="5"/>
    </row>
    <row r="238" spans="2:7" ht="15.75">
      <c r="B238" s="4" t="s">
        <v>194</v>
      </c>
      <c r="C238" s="4" t="s">
        <v>219</v>
      </c>
      <c r="G238" s="5"/>
    </row>
    <row r="239" spans="3:7" ht="15.75">
      <c r="C239" s="4" t="s">
        <v>220</v>
      </c>
      <c r="G239" s="5"/>
    </row>
    <row r="240" ht="15.75">
      <c r="G240" s="5"/>
    </row>
    <row r="241" spans="2:7" ht="15.75">
      <c r="B241" s="4" t="s">
        <v>202</v>
      </c>
      <c r="G241" s="5"/>
    </row>
    <row r="242" spans="2:7" ht="15.75">
      <c r="B242" s="4" t="s">
        <v>203</v>
      </c>
      <c r="G242" s="5"/>
    </row>
    <row r="243" ht="15.75">
      <c r="G243" s="5"/>
    </row>
    <row r="244" ht="15.75">
      <c r="G244" s="5"/>
    </row>
    <row r="245" spans="1:14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5">
      <c r="A251" s="6"/>
      <c r="B251" s="6"/>
      <c r="C251" s="6"/>
      <c r="D251" s="6"/>
      <c r="E251" s="6"/>
      <c r="F251" s="6"/>
      <c r="G251" s="44"/>
      <c r="H251" s="6"/>
      <c r="I251" s="6"/>
      <c r="J251" s="6"/>
      <c r="K251" s="44"/>
      <c r="L251" s="6"/>
      <c r="M251" s="6"/>
      <c r="N251" s="6"/>
    </row>
    <row r="252" spans="1:14" ht="15">
      <c r="A252" s="6"/>
      <c r="B252" s="6"/>
      <c r="C252" s="6"/>
      <c r="D252" s="6"/>
      <c r="E252" s="6"/>
      <c r="F252" s="6"/>
      <c r="G252" s="44"/>
      <c r="H252" s="6"/>
      <c r="I252" s="6"/>
      <c r="J252" s="6"/>
      <c r="K252" s="44"/>
      <c r="L252" s="6"/>
      <c r="M252" s="6"/>
      <c r="N252" s="6"/>
    </row>
    <row r="253" spans="1:14" ht="15">
      <c r="A253" s="6"/>
      <c r="B253" s="6"/>
      <c r="C253" s="6"/>
      <c r="D253" s="6"/>
      <c r="E253" s="6"/>
      <c r="F253" s="6"/>
      <c r="G253" s="44"/>
      <c r="H253" s="6"/>
      <c r="I253" s="6"/>
      <c r="J253" s="6"/>
      <c r="K253" s="44"/>
      <c r="L253" s="6"/>
      <c r="M253" s="6"/>
      <c r="N253" s="6"/>
    </row>
    <row r="254" spans="1:14" ht="15">
      <c r="A254" s="6"/>
      <c r="B254" s="6"/>
      <c r="C254" s="6"/>
      <c r="D254" s="6"/>
      <c r="E254" s="6"/>
      <c r="F254" s="6"/>
      <c r="G254" s="100"/>
      <c r="H254" s="6"/>
      <c r="I254" s="6"/>
      <c r="J254" s="6"/>
      <c r="K254" s="100"/>
      <c r="L254" s="6"/>
      <c r="M254" s="6"/>
      <c r="N254" s="6"/>
    </row>
    <row r="255" spans="1:14" ht="15">
      <c r="A255" s="6"/>
      <c r="B255" s="6"/>
      <c r="C255" s="6"/>
      <c r="D255" s="6"/>
      <c r="E255" s="6"/>
      <c r="F255" s="6"/>
      <c r="G255" s="101"/>
      <c r="H255" s="6"/>
      <c r="I255" s="6"/>
      <c r="J255" s="6"/>
      <c r="K255" s="101"/>
      <c r="L255" s="6"/>
      <c r="M255" s="6"/>
      <c r="N255" s="6"/>
    </row>
    <row r="256" spans="1:14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5">
      <c r="A258" s="6"/>
      <c r="B258" s="6"/>
      <c r="C258" s="6"/>
      <c r="D258" s="6"/>
      <c r="E258" s="6"/>
      <c r="F258" s="6"/>
      <c r="G258" s="23"/>
      <c r="H258" s="23"/>
      <c r="I258" s="23"/>
      <c r="J258" s="23"/>
      <c r="K258" s="23"/>
      <c r="L258" s="6"/>
      <c r="M258" s="6"/>
      <c r="N258" s="6"/>
    </row>
    <row r="259" spans="1:14" ht="15">
      <c r="A259" s="6"/>
      <c r="B259" s="6"/>
      <c r="C259" s="6"/>
      <c r="D259" s="6"/>
      <c r="E259" s="6"/>
      <c r="F259" s="6"/>
      <c r="G259" s="102"/>
      <c r="H259" s="6"/>
      <c r="I259" s="6"/>
      <c r="J259" s="6"/>
      <c r="K259" s="102"/>
      <c r="L259" s="6"/>
      <c r="M259" s="6"/>
      <c r="N259" s="6"/>
    </row>
    <row r="260" spans="1:14" ht="15">
      <c r="A260" s="6"/>
      <c r="B260" s="6"/>
      <c r="C260" s="6"/>
      <c r="D260" s="6"/>
      <c r="E260" s="6"/>
      <c r="F260" s="6"/>
      <c r="G260" s="103"/>
      <c r="H260" s="103"/>
      <c r="I260" s="103"/>
      <c r="J260" s="103"/>
      <c r="K260" s="103"/>
      <c r="L260" s="6"/>
      <c r="M260" s="6"/>
      <c r="N260" s="6"/>
    </row>
    <row r="261" spans="1:14" ht="15">
      <c r="A261" s="6"/>
      <c r="B261" s="6"/>
      <c r="C261" s="6"/>
      <c r="D261" s="6"/>
      <c r="E261" s="6"/>
      <c r="F261" s="6"/>
      <c r="G261" s="102"/>
      <c r="H261" s="6"/>
      <c r="I261" s="6"/>
      <c r="J261" s="6"/>
      <c r="K261" s="102"/>
      <c r="L261" s="6"/>
      <c r="M261" s="6"/>
      <c r="N261" s="6"/>
    </row>
    <row r="262" spans="1:14" ht="15">
      <c r="A262" s="6"/>
      <c r="B262" s="6"/>
      <c r="C262" s="6"/>
      <c r="D262" s="6"/>
      <c r="E262" s="6"/>
      <c r="F262" s="6"/>
      <c r="G262" s="102"/>
      <c r="H262" s="6"/>
      <c r="I262" s="6"/>
      <c r="J262" s="6"/>
      <c r="K262" s="102"/>
      <c r="L262" s="6"/>
      <c r="M262" s="6"/>
      <c r="N262" s="6"/>
    </row>
  </sheetData>
  <sheetProtection password="C724" sheet="1" objects="1" scenarios="1"/>
  <printOptions/>
  <pageMargins left="0.5" right="0.5" top="0.52" bottom="0.43" header="0.48" footer="0.16"/>
  <pageSetup cellComments="asDisplayed" horizontalDpi="600" verticalDpi="600" orientation="portrait" paperSize="10" scale="69" r:id="rId2"/>
  <rowBreaks count="4" manualBreakCount="4">
    <brk id="76" max="14" man="1"/>
    <brk id="152" max="14" man="1"/>
    <brk id="223" max="14" man="1"/>
    <brk id="24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version submitted to KLSE</dc:title>
  <dc:subject/>
  <dc:creator>mit</dc:creator>
  <cp:keywords/>
  <dc:description/>
  <cp:lastModifiedBy>Petronas</cp:lastModifiedBy>
  <cp:lastPrinted>2005-02-24T04:32:21Z</cp:lastPrinted>
  <dcterms:created xsi:type="dcterms:W3CDTF">2000-09-06T00:55:32Z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